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15480" windowHeight="6930" firstSheet="3" activeTab="4"/>
  </bookViews>
  <sheets>
    <sheet name="Income Statement" sheetId="2" state="hidden" r:id="rId1"/>
    <sheet name="Balance Sheet" sheetId="3" state="hidden" r:id="rId2"/>
    <sheet name="Cash Flow - DCF VALUATION" sheetId="4" state="hidden" r:id="rId3"/>
    <sheet name="Comparables " sheetId="5" r:id="rId4"/>
    <sheet name="Ratio Analysis " sheetId="6" r:id="rId5"/>
    <sheet name="Sheet1" sheetId="1" state="hidden" r:id="rId6"/>
  </sheets>
  <definedNames>
    <definedName name="_xlnm.Print_Titles" localSheetId="1">'Balance Sheet'!$1:$3</definedName>
    <definedName name="_xlnm.Print_Titles" localSheetId="2">'Cash Flow - DCF VALUATION'!$1:$3</definedName>
    <definedName name="_xlnm.Print_Titles" localSheetId="3">'Comparables '!$1:$3</definedName>
    <definedName name="_xlnm.Print_Titles" localSheetId="0">'Income Statement'!$1:$3</definedName>
  </definedNames>
  <calcPr calcId="124519"/>
  <fileRecoveryPr repairLoad="1"/>
  <extLst xmlns:x15="http://schemas.microsoft.com/office/spreadsheetml/2010/11/main">
    <ext xmlns:x14="http://schemas.microsoft.com/office/spreadsheetml/2009/9/main" uri="{79F54976-1DA5-4618-B147-4CDE4B953A38}">
      <x14:workbookPr defaultImageDpi="32767"/>
    </ext>
    <ext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7" i="4"/>
  <c r="L66"/>
  <c r="B53" i="2" l="1"/>
  <c r="B68" i="3"/>
  <c r="B73"/>
  <c r="K13" i="5"/>
  <c r="K30" s="1"/>
  <c r="K14"/>
  <c r="K15"/>
  <c r="K24" s="1"/>
  <c r="K28" s="1"/>
  <c r="K16"/>
  <c r="K33"/>
  <c r="D83" i="4"/>
  <c r="D84" s="1"/>
  <c r="D98" s="1"/>
  <c r="D96"/>
  <c r="D78"/>
  <c r="B59" i="2"/>
  <c r="C59"/>
  <c r="D59"/>
  <c r="E59"/>
  <c r="F59"/>
  <c r="G59"/>
  <c r="H59"/>
  <c r="I59"/>
  <c r="J59"/>
  <c r="K59"/>
  <c r="L74" i="4"/>
  <c r="B61"/>
  <c r="B62"/>
  <c r="B63"/>
  <c r="B64"/>
  <c r="B72" i="3"/>
  <c r="B67"/>
  <c r="L10" i="2"/>
  <c r="G55"/>
  <c r="H55"/>
  <c r="I55"/>
  <c r="J55"/>
  <c r="K55"/>
  <c r="B61"/>
  <c r="G61"/>
  <c r="H61"/>
  <c r="I61"/>
  <c r="J61"/>
  <c r="K61"/>
  <c r="B57"/>
  <c r="C57"/>
  <c r="D57"/>
  <c r="E57"/>
  <c r="F57"/>
  <c r="G57"/>
  <c r="H57"/>
  <c r="I57"/>
  <c r="J57"/>
  <c r="K57"/>
  <c r="O19" i="5"/>
  <c r="O31"/>
  <c r="O13"/>
  <c r="O30"/>
  <c r="O35" s="1"/>
  <c r="O14"/>
  <c r="O15"/>
  <c r="O16"/>
  <c r="N13"/>
  <c r="N19"/>
  <c r="N31"/>
  <c r="N36" s="1"/>
  <c r="N14"/>
  <c r="N15"/>
  <c r="N16"/>
  <c r="M19"/>
  <c r="M31" s="1"/>
  <c r="M36" s="1"/>
  <c r="M13"/>
  <c r="M30"/>
  <c r="M35" s="1"/>
  <c r="M22"/>
  <c r="M29" s="1"/>
  <c r="M34" s="1"/>
  <c r="M14"/>
  <c r="M15"/>
  <c r="M16"/>
  <c r="L19"/>
  <c r="L31"/>
  <c r="L36" s="1"/>
  <c r="L13"/>
  <c r="L14"/>
  <c r="L15"/>
  <c r="L16"/>
  <c r="K19"/>
  <c r="K22" s="1"/>
  <c r="B70" i="3"/>
  <c r="G70"/>
  <c r="H70"/>
  <c r="I70"/>
  <c r="J70"/>
  <c r="K70"/>
  <c r="C72"/>
  <c r="D72"/>
  <c r="E72"/>
  <c r="F72"/>
  <c r="G72"/>
  <c r="H72"/>
  <c r="I72"/>
  <c r="J72"/>
  <c r="K72"/>
  <c r="G67"/>
  <c r="H67"/>
  <c r="I67"/>
  <c r="J67"/>
  <c r="K67"/>
  <c r="D70"/>
  <c r="E70"/>
  <c r="F70"/>
  <c r="C70"/>
  <c r="D67"/>
  <c r="E67"/>
  <c r="F67"/>
  <c r="C67"/>
  <c r="O36" i="5"/>
  <c r="K31"/>
  <c r="K36" s="1"/>
  <c r="K35"/>
  <c r="K29"/>
  <c r="K34" s="1"/>
  <c r="L44" i="3"/>
  <c r="L42" i="4" s="1"/>
  <c r="L43" s="1"/>
  <c r="M44" i="3"/>
  <c r="N44" s="1"/>
  <c r="O44" s="1"/>
  <c r="M42" i="4"/>
  <c r="M43" s="1"/>
  <c r="M53" s="1"/>
  <c r="N42"/>
  <c r="N43" s="1"/>
  <c r="I62"/>
  <c r="L23" i="3"/>
  <c r="M23"/>
  <c r="L37" i="4"/>
  <c r="N29"/>
  <c r="P29"/>
  <c r="R29"/>
  <c r="T29"/>
  <c r="L29"/>
  <c r="L28" s="1"/>
  <c r="L36" s="1"/>
  <c r="L36" i="3"/>
  <c r="M36"/>
  <c r="N36" s="1"/>
  <c r="M25" i="4"/>
  <c r="L25"/>
  <c r="U49"/>
  <c r="T49"/>
  <c r="S49"/>
  <c r="R49"/>
  <c r="Q49"/>
  <c r="P49"/>
  <c r="O49"/>
  <c r="N49"/>
  <c r="M49"/>
  <c r="L49"/>
  <c r="L53"/>
  <c r="U40"/>
  <c r="T40"/>
  <c r="S40"/>
  <c r="R40"/>
  <c r="Q40"/>
  <c r="P40"/>
  <c r="O40"/>
  <c r="N40"/>
  <c r="M40"/>
  <c r="L40"/>
  <c r="K62" i="3"/>
  <c r="L56"/>
  <c r="M56" s="1"/>
  <c r="N56" s="1"/>
  <c r="L53"/>
  <c r="M53" s="1"/>
  <c r="N53" s="1"/>
  <c r="O53"/>
  <c r="P53" s="1"/>
  <c r="Q53" s="1"/>
  <c r="R53" s="1"/>
  <c r="S53" s="1"/>
  <c r="T53" s="1"/>
  <c r="U53" s="1"/>
  <c r="L52"/>
  <c r="M52" s="1"/>
  <c r="N52" s="1"/>
  <c r="O52" s="1"/>
  <c r="P52" s="1"/>
  <c r="Q52" s="1"/>
  <c r="R52" s="1"/>
  <c r="S52" s="1"/>
  <c r="T52" s="1"/>
  <c r="U52" s="1"/>
  <c r="L49"/>
  <c r="M49" s="1"/>
  <c r="N49" s="1"/>
  <c r="O49" s="1"/>
  <c r="P49" s="1"/>
  <c r="Q49" s="1"/>
  <c r="R49" s="1"/>
  <c r="S49" s="1"/>
  <c r="T49" s="1"/>
  <c r="U49" s="1"/>
  <c r="L48"/>
  <c r="M48"/>
  <c r="N48"/>
  <c r="O48"/>
  <c r="P48" s="1"/>
  <c r="Q48" s="1"/>
  <c r="R48" s="1"/>
  <c r="S48" s="1"/>
  <c r="T48" s="1"/>
  <c r="U48" s="1"/>
  <c r="L47"/>
  <c r="M47"/>
  <c r="N47" s="1"/>
  <c r="O47"/>
  <c r="P47" s="1"/>
  <c r="Q47" s="1"/>
  <c r="R47" s="1"/>
  <c r="S47" s="1"/>
  <c r="T47" s="1"/>
  <c r="U47" s="1"/>
  <c r="L46"/>
  <c r="M46"/>
  <c r="N46"/>
  <c r="O46"/>
  <c r="P46" s="1"/>
  <c r="Q46" s="1"/>
  <c r="R46" s="1"/>
  <c r="S46" s="1"/>
  <c r="T46" s="1"/>
  <c r="U46" s="1"/>
  <c r="L45"/>
  <c r="M45"/>
  <c r="N45" s="1"/>
  <c r="O45"/>
  <c r="P45" s="1"/>
  <c r="Q45" s="1"/>
  <c r="R45" s="1"/>
  <c r="S45" s="1"/>
  <c r="T45" s="1"/>
  <c r="U45" s="1"/>
  <c r="L41"/>
  <c r="M41"/>
  <c r="N41"/>
  <c r="O41"/>
  <c r="P41" s="1"/>
  <c r="Q41" s="1"/>
  <c r="R41" s="1"/>
  <c r="S41" s="1"/>
  <c r="T41" s="1"/>
  <c r="U41" s="1"/>
  <c r="L40"/>
  <c r="M40"/>
  <c r="N40" s="1"/>
  <c r="O40"/>
  <c r="P40" s="1"/>
  <c r="Q40" s="1"/>
  <c r="R40" s="1"/>
  <c r="S40" s="1"/>
  <c r="T40" s="1"/>
  <c r="U40" s="1"/>
  <c r="L39"/>
  <c r="M39"/>
  <c r="N39"/>
  <c r="O39"/>
  <c r="P39" s="1"/>
  <c r="Q39" s="1"/>
  <c r="R39" s="1"/>
  <c r="S39" s="1"/>
  <c r="T39" s="1"/>
  <c r="U39" s="1"/>
  <c r="L38"/>
  <c r="M38"/>
  <c r="N38" s="1"/>
  <c r="O38"/>
  <c r="P38" s="1"/>
  <c r="L20"/>
  <c r="M20"/>
  <c r="N20"/>
  <c r="O20"/>
  <c r="P20" s="1"/>
  <c r="Q20" s="1"/>
  <c r="R20" s="1"/>
  <c r="S20" s="1"/>
  <c r="T20" s="1"/>
  <c r="U20" s="1"/>
  <c r="F61" i="2"/>
  <c r="E61"/>
  <c r="D61"/>
  <c r="C61"/>
  <c r="F55"/>
  <c r="E55"/>
  <c r="D55"/>
  <c r="C55"/>
  <c r="B55"/>
  <c r="N53" i="4"/>
  <c r="B66" i="3" l="1"/>
  <c r="B71"/>
  <c r="L17" s="1"/>
  <c r="L22" i="4" s="1"/>
  <c r="Q38" i="3"/>
  <c r="O56"/>
  <c r="M10" i="2"/>
  <c r="L15" i="3"/>
  <c r="L21" i="4" s="1"/>
  <c r="B54" i="2"/>
  <c r="L12" s="1"/>
  <c r="N25" i="4"/>
  <c r="O36" i="3"/>
  <c r="B69"/>
  <c r="L30" i="5"/>
  <c r="L35" s="1"/>
  <c r="L22"/>
  <c r="L29" s="1"/>
  <c r="L34" s="1"/>
  <c r="L24"/>
  <c r="L28" s="1"/>
  <c r="L33" s="1"/>
  <c r="M24"/>
  <c r="M28" s="1"/>
  <c r="M33" s="1"/>
  <c r="N30"/>
  <c r="N35" s="1"/>
  <c r="N24"/>
  <c r="N28" s="1"/>
  <c r="N33" s="1"/>
  <c r="N22"/>
  <c r="N29" s="1"/>
  <c r="N34" s="1"/>
  <c r="B56" i="2"/>
  <c r="B60"/>
  <c r="M37" i="4"/>
  <c r="N23" i="3"/>
  <c r="P44"/>
  <c r="O42" i="4"/>
  <c r="O43" s="1"/>
  <c r="O53" s="1"/>
  <c r="B58" i="2"/>
  <c r="O24"/>
  <c r="O26" s="1"/>
  <c r="O22" i="5"/>
  <c r="O29" s="1"/>
  <c r="O34" s="1"/>
  <c r="O24"/>
  <c r="O28" s="1"/>
  <c r="O33" s="1"/>
  <c r="M29" i="4"/>
  <c r="M28" s="1"/>
  <c r="M36" s="1"/>
  <c r="O29"/>
  <c r="Q29"/>
  <c r="S29"/>
  <c r="U29"/>
  <c r="L35" i="3" l="1"/>
  <c r="L13" i="2"/>
  <c r="P35" i="5"/>
  <c r="P56" i="3"/>
  <c r="M24" i="2"/>
  <c r="M26" s="1"/>
  <c r="D88" i="4"/>
  <c r="D90" s="1"/>
  <c r="D101" s="1"/>
  <c r="I61" s="1"/>
  <c r="N24" i="2"/>
  <c r="N26" s="1"/>
  <c r="L24"/>
  <c r="L26" s="1"/>
  <c r="P33" i="5"/>
  <c r="P36" i="3"/>
  <c r="O25" i="4"/>
  <c r="R38" i="3"/>
  <c r="N37" i="4"/>
  <c r="N28"/>
  <c r="N36" s="1"/>
  <c r="O23" i="3"/>
  <c r="P42" i="4"/>
  <c r="P43" s="1"/>
  <c r="P53" s="1"/>
  <c r="Q44" i="3"/>
  <c r="Q24" i="2" s="1"/>
  <c r="Q26" s="1"/>
  <c r="P34" i="5"/>
  <c r="N10" i="2"/>
  <c r="M17" i="3"/>
  <c r="M22" i="4" s="1"/>
  <c r="M15" i="3"/>
  <c r="M21" i="4" s="1"/>
  <c r="M12" i="2"/>
  <c r="M35" i="3" s="1"/>
  <c r="M13" i="2"/>
  <c r="P24"/>
  <c r="P26" s="1"/>
  <c r="Q56" i="3" l="1"/>
  <c r="P25" i="4"/>
  <c r="Q36" i="3"/>
  <c r="N12" i="2"/>
  <c r="N35" i="3" s="1"/>
  <c r="N17"/>
  <c r="N22" i="4" s="1"/>
  <c r="N13" i="2"/>
  <c r="O10"/>
  <c r="N15" i="3"/>
  <c r="N21" i="4" s="1"/>
  <c r="P36" i="5"/>
  <c r="R44" i="3"/>
  <c r="Q42" i="4"/>
  <c r="Q43" s="1"/>
  <c r="Q53" s="1"/>
  <c r="M23"/>
  <c r="M42" i="3"/>
  <c r="M50" s="1"/>
  <c r="P23"/>
  <c r="O28" i="4"/>
  <c r="O36" s="1"/>
  <c r="O37"/>
  <c r="S38" i="3"/>
  <c r="L42"/>
  <c r="L50" s="1"/>
  <c r="L23" i="4"/>
  <c r="R42" l="1"/>
  <c r="R43" s="1"/>
  <c r="R53" s="1"/>
  <c r="S44" i="3"/>
  <c r="S24" i="2" s="1"/>
  <c r="S26" s="1"/>
  <c r="O12"/>
  <c r="O35" i="3" s="1"/>
  <c r="O17"/>
  <c r="O22" i="4" s="1"/>
  <c r="P10" i="2"/>
  <c r="O13"/>
  <c r="O15" i="3"/>
  <c r="O21" i="4" s="1"/>
  <c r="Q25"/>
  <c r="R36" i="3"/>
  <c r="T38"/>
  <c r="R24" i="2"/>
  <c r="R26" s="1"/>
  <c r="P37" i="4"/>
  <c r="Q23" i="3"/>
  <c r="P28" i="4"/>
  <c r="P36" s="1"/>
  <c r="N23"/>
  <c r="N42" i="3"/>
  <c r="N50" s="1"/>
  <c r="R56"/>
  <c r="S56" l="1"/>
  <c r="Q28" i="4"/>
  <c r="Q36" s="1"/>
  <c r="R23" i="3"/>
  <c r="Q37" i="4"/>
  <c r="T44" i="3"/>
  <c r="T24" i="2" s="1"/>
  <c r="T26" s="1"/>
  <c r="S42" i="4"/>
  <c r="S43" s="1"/>
  <c r="S53" s="1"/>
  <c r="R25"/>
  <c r="S36" i="3"/>
  <c r="P15"/>
  <c r="P21" i="4" s="1"/>
  <c r="P12" i="2"/>
  <c r="P35" i="3" s="1"/>
  <c r="P17"/>
  <c r="P22" i="4" s="1"/>
  <c r="Q10" i="2"/>
  <c r="P13"/>
  <c r="U38" i="3"/>
  <c r="O23" i="4"/>
  <c r="O42" i="3"/>
  <c r="O50" s="1"/>
  <c r="T56" l="1"/>
  <c r="T42" i="4"/>
  <c r="T43" s="1"/>
  <c r="T53" s="1"/>
  <c r="U44" i="3"/>
  <c r="U42" i="4" s="1"/>
  <c r="U43" s="1"/>
  <c r="U53" s="1"/>
  <c r="R10" i="2"/>
  <c r="Q12"/>
  <c r="Q35" i="3" s="1"/>
  <c r="Q15"/>
  <c r="Q21" i="4" s="1"/>
  <c r="Q17" i="3"/>
  <c r="Q22" i="4" s="1"/>
  <c r="S25"/>
  <c r="T36" i="3"/>
  <c r="P42"/>
  <c r="P50" s="1"/>
  <c r="P23" i="4"/>
  <c r="R37"/>
  <c r="S23" i="3"/>
  <c r="R28" i="4"/>
  <c r="R36" s="1"/>
  <c r="Q13" i="2" l="1"/>
  <c r="U56" i="3"/>
  <c r="Q23" i="4"/>
  <c r="Q42" i="3"/>
  <c r="Q50" s="1"/>
  <c r="S10" i="2"/>
  <c r="R17" i="3"/>
  <c r="R22" i="4" s="1"/>
  <c r="R15" i="3"/>
  <c r="R21" i="4" s="1"/>
  <c r="R12" i="2"/>
  <c r="R35" i="3" s="1"/>
  <c r="R13" i="2"/>
  <c r="S37" i="4"/>
  <c r="S28"/>
  <c r="S36" s="1"/>
  <c r="T23" i="3"/>
  <c r="T25" i="4"/>
  <c r="U36" i="3"/>
  <c r="U25" i="4" s="1"/>
  <c r="U24" i="2"/>
  <c r="U26" s="1"/>
  <c r="T37" i="4" l="1"/>
  <c r="T28"/>
  <c r="T36" s="1"/>
  <c r="U23" i="3"/>
  <c r="R23" i="4"/>
  <c r="R42" i="3"/>
  <c r="R50" s="1"/>
  <c r="S12" i="2"/>
  <c r="S35" i="3" s="1"/>
  <c r="S17"/>
  <c r="S22" i="4" s="1"/>
  <c r="S13" i="2"/>
  <c r="T10"/>
  <c r="S15" i="3"/>
  <c r="S21" i="4" s="1"/>
  <c r="T15" i="3" l="1"/>
  <c r="T21" i="4" s="1"/>
  <c r="U10" i="2"/>
  <c r="T17" i="3"/>
  <c r="T22" i="4" s="1"/>
  <c r="T13" i="2"/>
  <c r="T12"/>
  <c r="T35" i="3" s="1"/>
  <c r="U37" i="4"/>
  <c r="U28"/>
  <c r="U36" s="1"/>
  <c r="S42" i="3"/>
  <c r="S50" s="1"/>
  <c r="S23" i="4"/>
  <c r="U12" i="2" l="1"/>
  <c r="U35" i="3" s="1"/>
  <c r="U15"/>
  <c r="U21" i="4" s="1"/>
  <c r="U17" i="3"/>
  <c r="U22" i="4" s="1"/>
  <c r="T23"/>
  <c r="T42" i="3"/>
  <c r="T50" s="1"/>
  <c r="U13" i="2" l="1"/>
  <c r="U23" i="4"/>
  <c r="U42" i="3"/>
  <c r="U50" s="1"/>
  <c r="L68" i="4"/>
  <c r="L72" s="1"/>
  <c r="M72" l="1"/>
  <c r="U62" i="3"/>
  <c r="O62"/>
  <c r="N13" i="4"/>
  <c r="Q61" i="3"/>
  <c r="L78" i="4"/>
  <c r="N11"/>
  <c r="Q13"/>
  <c r="O13"/>
  <c r="N42" i="2"/>
  <c r="O56" i="4"/>
  <c r="S61" i="3"/>
  <c r="U56" i="4"/>
  <c r="P13"/>
  <c r="L13"/>
  <c r="L42" i="2"/>
  <c r="P62" i="3"/>
  <c r="M63" i="4"/>
  <c r="P32" i="3"/>
  <c r="O32"/>
  <c r="S42" i="2"/>
  <c r="U32" i="3"/>
  <c r="T42" i="2"/>
  <c r="P11" i="4"/>
  <c r="T61" i="3"/>
  <c r="S63" i="4"/>
  <c r="O42" i="2"/>
  <c r="U63" i="4"/>
  <c r="U61"/>
  <c r="U62"/>
  <c r="P63"/>
  <c r="U13"/>
  <c r="P42" i="2"/>
  <c r="M56" i="4"/>
  <c r="M61"/>
  <c r="L59" i="3"/>
  <c r="L61"/>
  <c r="S11" i="4"/>
  <c r="S13"/>
  <c r="N32" i="3"/>
  <c r="N62"/>
  <c r="M59"/>
  <c r="M61"/>
  <c r="O61" i="4"/>
  <c r="O63"/>
  <c r="Q57" i="3"/>
  <c r="Q59"/>
  <c r="R56" i="4"/>
  <c r="O11"/>
  <c r="T56"/>
  <c r="P56"/>
  <c r="P61"/>
  <c r="O59" i="3"/>
  <c r="O61"/>
  <c r="L76" i="4"/>
  <c r="O57" i="3"/>
  <c r="O10" i="4"/>
  <c r="O26"/>
  <c r="Q11"/>
  <c r="Q42" i="2"/>
  <c r="R42"/>
  <c r="S56" i="4"/>
  <c r="S61"/>
  <c r="S26"/>
  <c r="P57" i="3"/>
  <c r="P59"/>
  <c r="P61"/>
  <c r="L62"/>
  <c r="N56" i="4"/>
  <c r="S57" i="3"/>
  <c r="S59"/>
  <c r="L11" i="4"/>
  <c r="P10" i="3"/>
  <c r="P21"/>
  <c r="Q62"/>
  <c r="U54"/>
  <c r="U57"/>
  <c r="U59"/>
  <c r="U61"/>
  <c r="L61" i="4"/>
  <c r="L63"/>
  <c r="T11"/>
  <c r="T13"/>
  <c r="L21" i="3"/>
  <c r="L32"/>
  <c r="Q10"/>
  <c r="Q21"/>
  <c r="Q32"/>
  <c r="R21"/>
  <c r="R32"/>
  <c r="R62"/>
  <c r="U11" i="4"/>
  <c r="R61" i="3"/>
  <c r="M21"/>
  <c r="M32"/>
  <c r="M62"/>
  <c r="R10" i="4"/>
  <c r="R26"/>
  <c r="R61"/>
  <c r="R63"/>
  <c r="R57" i="3"/>
  <c r="R59"/>
  <c r="R11" i="4"/>
  <c r="R13"/>
  <c r="Q56"/>
  <c r="T10" i="3"/>
  <c r="T21"/>
  <c r="T32"/>
  <c r="T62"/>
  <c r="M11" i="4"/>
  <c r="M13"/>
  <c r="R10" i="3"/>
  <c r="M47" i="2"/>
  <c r="M50"/>
  <c r="M10" i="4"/>
  <c r="M26"/>
  <c r="O54" i="3"/>
  <c r="P54"/>
  <c r="Q54"/>
  <c r="R54"/>
  <c r="S54"/>
  <c r="T54"/>
  <c r="T57"/>
  <c r="T59"/>
  <c r="M57"/>
  <c r="U42" i="2"/>
  <c r="L57" i="3"/>
  <c r="T26" i="4"/>
  <c r="T61"/>
  <c r="T63"/>
  <c r="P50" i="2"/>
  <c r="P10" i="4"/>
  <c r="P26"/>
  <c r="L10" i="3"/>
  <c r="O10"/>
  <c r="O21"/>
  <c r="S10"/>
  <c r="S21"/>
  <c r="S32"/>
  <c r="S62"/>
  <c r="L54"/>
  <c r="M54"/>
  <c r="N54"/>
  <c r="N57"/>
  <c r="N59"/>
  <c r="N61"/>
  <c r="N10"/>
  <c r="N21"/>
  <c r="M42" i="2"/>
  <c r="M43"/>
  <c r="M25" i="3"/>
  <c r="M17" i="2"/>
  <c r="M20"/>
  <c r="M22"/>
  <c r="M31"/>
  <c r="M40"/>
  <c r="U31"/>
  <c r="U40"/>
  <c r="U43"/>
  <c r="U47"/>
  <c r="U50"/>
  <c r="U10" i="4"/>
  <c r="U26"/>
  <c r="M10" i="3"/>
  <c r="N25"/>
  <c r="N17" i="2"/>
  <c r="N20"/>
  <c r="N22"/>
  <c r="N31"/>
  <c r="N40"/>
  <c r="N43"/>
  <c r="N47"/>
  <c r="N50"/>
  <c r="N10" i="4"/>
  <c r="N26"/>
  <c r="N61"/>
  <c r="N63"/>
  <c r="O25" i="3"/>
  <c r="O17" i="2"/>
  <c r="O20"/>
  <c r="O22"/>
  <c r="O31"/>
  <c r="O40"/>
  <c r="O43"/>
  <c r="O47"/>
  <c r="O50"/>
  <c r="Q10" i="4"/>
  <c r="Q26"/>
  <c r="Q61"/>
  <c r="Q63"/>
  <c r="U24" i="3"/>
  <c r="U25"/>
  <c r="U17" i="2"/>
  <c r="U20"/>
  <c r="U22"/>
  <c r="S25" i="3"/>
  <c r="S17" i="2"/>
  <c r="S20"/>
  <c r="S22"/>
  <c r="S31"/>
  <c r="S40"/>
  <c r="S43"/>
  <c r="S47"/>
  <c r="S50"/>
  <c r="S10" i="4"/>
  <c r="T20" i="2"/>
  <c r="T22"/>
  <c r="T31"/>
  <c r="T40"/>
  <c r="T43"/>
  <c r="T47"/>
  <c r="T50"/>
  <c r="T10" i="4"/>
  <c r="P25" i="3"/>
  <c r="P17" i="2"/>
  <c r="P20"/>
  <c r="P22"/>
  <c r="P31"/>
  <c r="P40"/>
  <c r="P43"/>
  <c r="P47"/>
  <c r="R25" i="3"/>
  <c r="R17" i="2"/>
  <c r="R20"/>
  <c r="R22"/>
  <c r="R31"/>
  <c r="R40"/>
  <c r="R43"/>
  <c r="R47"/>
  <c r="R50"/>
  <c r="L20"/>
  <c r="L22"/>
  <c r="L31"/>
  <c r="L40"/>
  <c r="L43"/>
  <c r="L47"/>
  <c r="L50"/>
  <c r="L10" i="4"/>
  <c r="L26"/>
  <c r="L56"/>
  <c r="L9" i="3"/>
  <c r="M9"/>
  <c r="N9"/>
  <c r="O9"/>
  <c r="P9"/>
  <c r="Q9"/>
  <c r="R9"/>
  <c r="S9"/>
  <c r="T9"/>
  <c r="U9"/>
  <c r="U10"/>
  <c r="U21"/>
  <c r="Q25"/>
  <c r="Q17" i="2"/>
  <c r="Q20"/>
  <c r="Q22"/>
  <c r="Q31"/>
  <c r="Q40"/>
  <c r="Q43"/>
  <c r="Q47"/>
  <c r="Q50"/>
  <c r="L25" i="3"/>
  <c r="L17" i="2"/>
  <c r="L24" i="3"/>
  <c r="M24"/>
  <c r="N24"/>
  <c r="O24"/>
  <c r="P24"/>
  <c r="Q24"/>
  <c r="R24"/>
  <c r="S24"/>
  <c r="T24"/>
  <c r="T25"/>
  <c r="T17" i="2"/>
</calcChain>
</file>

<file path=xl/sharedStrings.xml><?xml version="1.0" encoding="utf-8"?>
<sst xmlns="http://schemas.openxmlformats.org/spreadsheetml/2006/main" count="542" uniqueCount="228">
  <si>
    <t>Income Statement</t>
  </si>
  <si>
    <t>Projected</t>
  </si>
  <si>
    <t xml:space="preserve">For the Fiscal Period Ending
</t>
  </si>
  <si>
    <t xml:space="preserve">
Dec-31-2007</t>
  </si>
  <si>
    <t xml:space="preserve">
Dec-31-2008</t>
  </si>
  <si>
    <t xml:space="preserve">
Dec-31-2009</t>
  </si>
  <si>
    <t xml:space="preserve">
Dec-31-2010</t>
  </si>
  <si>
    <t xml:space="preserve">
Dec-31-2011</t>
  </si>
  <si>
    <t xml:space="preserve">
Dec-31-2012</t>
  </si>
  <si>
    <t xml:space="preserve">
Dec-31-2013</t>
  </si>
  <si>
    <t xml:space="preserve">
Dec-31-2014</t>
  </si>
  <si>
    <t xml:space="preserve">
Dec-31-2015</t>
  </si>
  <si>
    <t xml:space="preserve">
Dec-31-2016</t>
  </si>
  <si>
    <t>Currency (Millions)</t>
  </si>
  <si>
    <t>CAD</t>
  </si>
  <si>
    <t>Revenue</t>
  </si>
  <si>
    <t>Other Revenue</t>
  </si>
  <si>
    <t xml:space="preserve">  Total Revenue</t>
  </si>
  <si>
    <t>Cost Of Goods Sold</t>
  </si>
  <si>
    <t xml:space="preserve">  Gross Profit</t>
  </si>
  <si>
    <t>Selling General &amp; Admin Exp.</t>
  </si>
  <si>
    <t>-</t>
  </si>
  <si>
    <t>R &amp; D Exp.</t>
  </si>
  <si>
    <t>Depreciation &amp; Amort.</t>
  </si>
  <si>
    <t>Other Operating Expense/(Income)</t>
  </si>
  <si>
    <t xml:space="preserve">  Other Operating Exp., Total</t>
  </si>
  <si>
    <t xml:space="preserve">  Operating Income</t>
  </si>
  <si>
    <t>Interest Expense</t>
  </si>
  <si>
    <t>Interest and Invest. Income</t>
  </si>
  <si>
    <t xml:space="preserve">  Net Interest Exp.</t>
  </si>
  <si>
    <t>Income/(Loss) from Affiliates</t>
  </si>
  <si>
    <t>Currency Exchange Gains (Loss)</t>
  </si>
  <si>
    <t>Other Non-Operating Inc. (Exp.)</t>
  </si>
  <si>
    <t xml:space="preserve">  EBT Excl. Unusual Items</t>
  </si>
  <si>
    <t>Restructuring Charges</t>
  </si>
  <si>
    <t>Impairment of Goodwill</t>
  </si>
  <si>
    <t>Gain (Loss) On Sale Of Invest.</t>
  </si>
  <si>
    <t>Gain (Loss) On Sale Of Assets</t>
  </si>
  <si>
    <t>Asset Writedown</t>
  </si>
  <si>
    <t>Legal Settlements</t>
  </si>
  <si>
    <t>Other Unusual Items</t>
  </si>
  <si>
    <t xml:space="preserve">  EBT Incl. Unusual Items</t>
  </si>
  <si>
    <t>Income Tax Expense</t>
  </si>
  <si>
    <t xml:space="preserve">  Earnings from Cont. Ops.</t>
  </si>
  <si>
    <t>Earnings of Discontinued Ops.</t>
  </si>
  <si>
    <t>Extraord. Item &amp; Account. Change</t>
  </si>
  <si>
    <t xml:space="preserve">  Net Income to Company</t>
  </si>
  <si>
    <t>Minority Int. in Earnings</t>
  </si>
  <si>
    <t xml:space="preserve">  Net Income</t>
  </si>
  <si>
    <t xml:space="preserve">
               </t>
  </si>
  <si>
    <t>Assumptions</t>
  </si>
  <si>
    <t>Revenue CAGR</t>
  </si>
  <si>
    <t>CAGR+inflation rate 1.60%</t>
  </si>
  <si>
    <t>COGS as % of Revenue</t>
  </si>
  <si>
    <t>average of 2012-2016</t>
  </si>
  <si>
    <t>Depreciation as % of Net PP&amp;E</t>
  </si>
  <si>
    <t>Interest Expense as % of Total Debt</t>
  </si>
  <si>
    <t>Income Tax Rate</t>
  </si>
  <si>
    <t>Balance Sheet</t>
  </si>
  <si>
    <t xml:space="preserve">Balance Sheet as of:
</t>
  </si>
  <si>
    <t>ASSETS</t>
  </si>
  <si>
    <t>Cash And Equivalents</t>
  </si>
  <si>
    <t xml:space="preserve">  Total Cash &amp; ST Investments</t>
  </si>
  <si>
    <t>Accounts Receivable</t>
  </si>
  <si>
    <t>Other Receivables</t>
  </si>
  <si>
    <t>Notes Receivable</t>
  </si>
  <si>
    <t xml:space="preserve">  Total Receivables</t>
  </si>
  <si>
    <t>Inventory</t>
  </si>
  <si>
    <t>Deferred Tax Assets, Curr.</t>
  </si>
  <si>
    <t>Restricted Cash</t>
  </si>
  <si>
    <t>Other Current Assets</t>
  </si>
  <si>
    <t xml:space="preserve">  Total Current Assets</t>
  </si>
  <si>
    <t>Gross Property, Plant &amp; Equipment</t>
  </si>
  <si>
    <t>Accumulated Depreciation</t>
  </si>
  <si>
    <t xml:space="preserve">  Net Property, Plant &amp; Equipment</t>
  </si>
  <si>
    <t>Long-term Investments</t>
  </si>
  <si>
    <t>Goodwill</t>
  </si>
  <si>
    <t>Other Intangibles</t>
  </si>
  <si>
    <t>Deferred Charges, LT</t>
  </si>
  <si>
    <t>Other Long0Term Assets</t>
  </si>
  <si>
    <t>Total Assets</t>
  </si>
  <si>
    <t>LIABILITIES</t>
  </si>
  <si>
    <t>Accounts Payable</t>
  </si>
  <si>
    <t>Accrued Exp.</t>
  </si>
  <si>
    <t>Short-term Borrowings</t>
  </si>
  <si>
    <t>Curr. Port. of LT Debt</t>
  </si>
  <si>
    <t>Curr. Port. of Cap. Leases</t>
  </si>
  <si>
    <t>Curr. Income Taxes Payable</t>
  </si>
  <si>
    <t>Other Current Liabilities</t>
  </si>
  <si>
    <t xml:space="preserve">  Total Current Liabilities</t>
  </si>
  <si>
    <t>Long-Term Debt</t>
  </si>
  <si>
    <t>Capital Leases</t>
  </si>
  <si>
    <t>Unearned Revenue, Non0Current</t>
  </si>
  <si>
    <t>Pension &amp; Other Post0Retire. Benefits</t>
  </si>
  <si>
    <t>Def. Tax Liability, Non0Curr.</t>
  </si>
  <si>
    <t>Other Non0Current Liabilities</t>
  </si>
  <si>
    <t>Total Liabilities</t>
  </si>
  <si>
    <t>Common Stock</t>
  </si>
  <si>
    <t>Additional Paid In Capital</t>
  </si>
  <si>
    <t>Retained Earnings</t>
  </si>
  <si>
    <t>Treasury Stock</t>
  </si>
  <si>
    <t>Comprehensive Inc. and Other</t>
  </si>
  <si>
    <t xml:space="preserve">  Total Common Equity</t>
  </si>
  <si>
    <t>Total Equity</t>
  </si>
  <si>
    <t>Total Liabilities And Equity</t>
  </si>
  <si>
    <t xml:space="preserve">Difference </t>
  </si>
  <si>
    <t>Total Receivables as % of Revenue</t>
  </si>
  <si>
    <t>Gross PP&amp;E CAGR</t>
  </si>
  <si>
    <t>Accounts Payable as % of COGS</t>
  </si>
  <si>
    <t>Inventory % Revenue</t>
  </si>
  <si>
    <t>Cash Flow</t>
  </si>
  <si>
    <t xml:space="preserve"> </t>
  </si>
  <si>
    <t>Net Income</t>
  </si>
  <si>
    <t>Amort. of Goodwill and Intangibles</t>
  </si>
  <si>
    <t>Depreciation &amp; Amort., Total</t>
  </si>
  <si>
    <t>Other Amortization</t>
  </si>
  <si>
    <t>(Gain) Loss From Sale Of Assets</t>
  </si>
  <si>
    <t>(Gain) Loss On Sale Of Invest.</t>
  </si>
  <si>
    <t>Asset Writedown &amp; Restructuring Costs</t>
  </si>
  <si>
    <t>(Income) Loss on Equity Invest.</t>
  </si>
  <si>
    <t>Other Operating Activities</t>
  </si>
  <si>
    <t>Change in Acc. Receivable</t>
  </si>
  <si>
    <t>Change In Inventories</t>
  </si>
  <si>
    <t>Change in Acc. Payable</t>
  </si>
  <si>
    <t>Change in Inc. Taxes</t>
  </si>
  <si>
    <t>Change in Other Net Operating Assets</t>
  </si>
  <si>
    <t xml:space="preserve">  Cash from Ops.</t>
  </si>
  <si>
    <t>Capital Expenditure</t>
  </si>
  <si>
    <t>Sale of Property, Plant, and Equipment</t>
  </si>
  <si>
    <t>Cash Acquisitions</t>
  </si>
  <si>
    <t>Divestitures</t>
  </si>
  <si>
    <t>Sale (Purchase) of Intangible assets</t>
  </si>
  <si>
    <t>Invest. in Marketable &amp; Equity Securt.</t>
  </si>
  <si>
    <t>Net (Inc.) Dec. in Loans Originated/Sold</t>
  </si>
  <si>
    <t>Other Investing Activities</t>
  </si>
  <si>
    <t xml:space="preserve">  Cash from Investing</t>
  </si>
  <si>
    <t>Short Term Debt Issued</t>
  </si>
  <si>
    <t>Long-Term Debt Issued</t>
  </si>
  <si>
    <t>Total Debt Issued</t>
  </si>
  <si>
    <t>Short Term Debt Repaid</t>
  </si>
  <si>
    <t>Long-Term Debt Repaid</t>
  </si>
  <si>
    <t>Total Debt Repaid</t>
  </si>
  <si>
    <t>Issuance of Common Stock</t>
  </si>
  <si>
    <t>Repurchase of Common Stock</t>
  </si>
  <si>
    <t>Common Dividends Paid</t>
  </si>
  <si>
    <t>Total Dividends Paid</t>
  </si>
  <si>
    <t>Special Dividend Paid</t>
  </si>
  <si>
    <t>Other Financing Activities</t>
  </si>
  <si>
    <t xml:space="preserve">  Cash from Financing</t>
  </si>
  <si>
    <t>Foreign Exchange Rate Adj.</t>
  </si>
  <si>
    <t xml:space="preserve">  Net Change in Cash</t>
  </si>
  <si>
    <t>WACC</t>
  </si>
  <si>
    <t>FCF</t>
  </si>
  <si>
    <t>Terminal g</t>
  </si>
  <si>
    <t>Common Dividends Paid CAGR</t>
  </si>
  <si>
    <t>PV of FCF</t>
  </si>
  <si>
    <t xml:space="preserve"> </t>
    <phoneticPr fontId="0" type="noConversion"/>
  </si>
  <si>
    <t>LTM inf.</t>
    <phoneticPr fontId="0" type="noConversion"/>
  </si>
  <si>
    <t>Sum of PV of FCF</t>
  </si>
  <si>
    <t>Add Cash</t>
  </si>
  <si>
    <t>Less Debt</t>
  </si>
  <si>
    <t>Equity Value</t>
  </si>
  <si>
    <t>Shares O/S (MM)</t>
  </si>
  <si>
    <t>Weighted-average cost of capital for CP</t>
  </si>
  <si>
    <t>Valuation per share</t>
  </si>
  <si>
    <t>Cost of Equity</t>
  </si>
  <si>
    <t>Current Market Price</t>
  </si>
  <si>
    <t>Riskfree rate</t>
  </si>
  <si>
    <t>Beta</t>
  </si>
  <si>
    <t>EPS</t>
    <phoneticPr fontId="0" type="noConversion"/>
  </si>
  <si>
    <t>Market return</t>
  </si>
  <si>
    <t>P/E multiple</t>
    <phoneticPr fontId="0" type="noConversion"/>
  </si>
  <si>
    <t>Amount of Equity</t>
  </si>
  <si>
    <t>Shares</t>
  </si>
  <si>
    <t>Inflation:</t>
    <phoneticPr fontId="0" type="noConversion"/>
  </si>
  <si>
    <t>http://www.inflation.eu/inflation-rates/canada/historic-inflation/cpi-inflation-canada.aspx</t>
  </si>
  <si>
    <t>Price</t>
  </si>
  <si>
    <t>Value</t>
  </si>
  <si>
    <t>Cost of Debt</t>
  </si>
  <si>
    <t>Rate</t>
  </si>
  <si>
    <t>Taxrate</t>
  </si>
  <si>
    <t>Amount of Debt</t>
  </si>
  <si>
    <t>Book value</t>
  </si>
  <si>
    <t>Adjustment</t>
  </si>
  <si>
    <t>Total Capital</t>
  </si>
  <si>
    <t>Currency:</t>
  </si>
  <si>
    <t>Canadian Dollar</t>
  </si>
  <si>
    <t>As-Of Date:</t>
  </si>
  <si>
    <t>Company Name</t>
  </si>
  <si>
    <t>Day Close Price Latest</t>
  </si>
  <si>
    <t>Shares Outstanding Latest</t>
  </si>
  <si>
    <t>Market Capitalization Latest</t>
  </si>
  <si>
    <t>Total Enterprise Value Latest</t>
  </si>
  <si>
    <t xml:space="preserve">LTM Total Revenue </t>
  </si>
  <si>
    <t xml:space="preserve">LTM EBITDA </t>
  </si>
  <si>
    <t xml:space="preserve">LTM Net Income </t>
  </si>
  <si>
    <t xml:space="preserve">LTM Total Common Equity </t>
  </si>
  <si>
    <t xml:space="preserve">LTM Cash from Ops. </t>
  </si>
  <si>
    <t>EV/EBITDA</t>
  </si>
  <si>
    <t>P/S</t>
  </si>
  <si>
    <t>P/E</t>
  </si>
  <si>
    <t>P/B</t>
  </si>
  <si>
    <t>P/CFO</t>
  </si>
  <si>
    <t>Canadian National Railway Company (TSX:CNR)</t>
  </si>
  <si>
    <t>Norfolk Southern Corporation (NYSE:NSC)</t>
  </si>
  <si>
    <t>CSX Corporation (NasdaqGS:CSX)</t>
  </si>
  <si>
    <t>Union Pacific Corporation (NYSE:UNP)</t>
  </si>
  <si>
    <t>Canadian Pacific Railway Limited (TSX:CP)</t>
  </si>
  <si>
    <t>Canadian Average</t>
  </si>
  <si>
    <t>Peer average</t>
  </si>
  <si>
    <t>EV w Peer Average</t>
  </si>
  <si>
    <t>EV with Canadian Average</t>
  </si>
  <si>
    <t>CNR Only</t>
  </si>
  <si>
    <t xml:space="preserve">EBITDA of all peers have been adjusted for unusual items and non operating income. </t>
  </si>
  <si>
    <t>CP (itself)</t>
  </si>
  <si>
    <t>Equity pricing value converted at today's spot rate (2017.11.12).</t>
  </si>
  <si>
    <t>Average</t>
  </si>
  <si>
    <t xml:space="preserve">Historical rate used for financial statement information. </t>
  </si>
  <si>
    <t>Industry Average</t>
  </si>
  <si>
    <t>All data retrieved from S&amp;P Capital IQ</t>
  </si>
  <si>
    <t>CA Average</t>
  </si>
  <si>
    <t xml:space="preserve">CNR </t>
  </si>
  <si>
    <t xml:space="preserve">CP </t>
  </si>
  <si>
    <t xml:space="preserve">  Return on Assets %</t>
  </si>
  <si>
    <t xml:space="preserve">  Return on Equity %</t>
  </si>
  <si>
    <t xml:space="preserve">  Gross Margin %</t>
  </si>
  <si>
    <t xml:space="preserve">  Net Income Margin %</t>
  </si>
  <si>
    <t>]</t>
  </si>
</sst>
</file>

<file path=xl/styles.xml><?xml version="1.0" encoding="utf-8"?>
<styleSheet xmlns="http://schemas.openxmlformats.org/spreadsheetml/2006/main">
  <numFmts count="15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mmm\-dd\-yyyy"/>
    <numFmt numFmtId="167" formatCode="0.0%"/>
    <numFmt numFmtId="168" formatCode="_(* #,##0.0_);_(* \(#,##0.0\);_(* &quot;-&quot;?_);_(@_)"/>
    <numFmt numFmtId="169" formatCode="_(* #,##0_);_(* \(#,##0\);_(* &quot;-&quot;??_);_(@_)"/>
    <numFmt numFmtId="170" formatCode="_-[$$-409]* #,##0_ ;_-[$$-409]* \-#,##0\ ;_-[$$-409]* &quot;-&quot;??_ ;_-@_ "/>
    <numFmt numFmtId="171" formatCode="_(\ #,##0.0#_);_(\(\ #,##0.0#\)_);_(\ &quot; - &quot;_)"/>
    <numFmt numFmtId="172" formatCode="_(\ #,##0.0_);_(\ \(#,##0.0\)_);_(\ &quot; - &quot;_)"/>
    <numFmt numFmtId="173" formatCode="_-* #,##0_-;\-* #,##0_-;_-* &quot;-&quot;??_-;_-@_-"/>
    <numFmt numFmtId="174" formatCode="_(\ #,##0.0###_);_(\(\ #,##0.0###\)_);_(\ &quot; - &quot;_)"/>
    <numFmt numFmtId="175" formatCode="_(\ #,##0.0######_);_(\(\ #,##0.0######\)_);_(\ &quot; - &quot;_)"/>
    <numFmt numFmtId="176" formatCode="_(\ #,##0.0#######_);_(\(\ #,##0.0#######\)_);_(\ &quot; - &quot;_)"/>
    <numFmt numFmtId="177" formatCode="_(\ #,##0.0########_);_(\(\ #,##0.0########\)_);_(\ &quot; - &quot;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indexed="8"/>
      <name val="Verdan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9"/>
      <name val="Verdana"/>
      <family val="2"/>
    </font>
    <font>
      <sz val="1"/>
      <color indexed="9"/>
      <name val="Symbol"/>
      <family val="1"/>
      <charset val="2"/>
    </font>
    <font>
      <u/>
      <sz val="12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</font>
    <font>
      <b/>
      <u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indexed="8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8"/>
      <color indexed="9"/>
      <name val="Times New Roman"/>
      <family val="1"/>
    </font>
    <font>
      <b/>
      <i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u val="double"/>
      <sz val="8"/>
      <color indexed="8"/>
      <name val="Times New Roman"/>
      <family val="1"/>
    </font>
    <font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b/>
      <u/>
      <sz val="8"/>
      <color indexed="8"/>
      <name val="Times New Roman"/>
      <family val="1"/>
    </font>
    <font>
      <sz val="1"/>
      <color indexed="9"/>
      <name val="Times New Roman"/>
      <family val="1"/>
    </font>
    <font>
      <i/>
      <sz val="8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0"/>
      <color theme="10"/>
      <name val="Times New Roman"/>
      <family val="1"/>
    </font>
    <font>
      <u/>
      <sz val="12"/>
      <color theme="10"/>
      <name val="Times New Roman"/>
      <family val="1"/>
    </font>
    <font>
      <sz val="12"/>
      <color indexed="9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2245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 applyAlignment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3" fillId="0" borderId="0"/>
  </cellStyleXfs>
  <cellXfs count="146">
    <xf numFmtId="0" fontId="0" fillId="0" borderId="0" xfId="0"/>
    <xf numFmtId="0" fontId="4" fillId="0" borderId="0" xfId="2" applyFont="1"/>
    <xf numFmtId="10" fontId="4" fillId="0" borderId="0" xfId="5" applyNumberFormat="1" applyFont="1"/>
    <xf numFmtId="0" fontId="3" fillId="0" borderId="0" xfId="7" applyNumberFormat="1" applyFont="1" applyAlignment="1"/>
    <xf numFmtId="0" fontId="4" fillId="0" borderId="0" xfId="7" applyFont="1"/>
    <xf numFmtId="0" fontId="4" fillId="0" borderId="0" xfId="7" applyFont="1" applyFill="1"/>
    <xf numFmtId="0" fontId="7" fillId="4" borderId="0" xfId="7" applyFont="1" applyFill="1" applyAlignment="1"/>
    <xf numFmtId="0" fontId="6" fillId="0" borderId="0" xfId="7" applyFont="1"/>
    <xf numFmtId="166" fontId="4" fillId="0" borderId="0" xfId="7" applyNumberFormat="1" applyFont="1" applyAlignment="1">
      <alignment horizontal="left"/>
    </xf>
    <xf numFmtId="0" fontId="5" fillId="0" borderId="0" xfId="7" applyNumberFormat="1" applyFont="1" applyAlignment="1">
      <alignment horizontal="left" vertical="top"/>
    </xf>
    <xf numFmtId="0" fontId="10" fillId="0" borderId="0" xfId="7" applyFont="1" applyFill="1"/>
    <xf numFmtId="171" fontId="12" fillId="0" borderId="0" xfId="7" applyNumberFormat="1" applyFont="1" applyAlignment="1">
      <alignment horizontal="right" vertical="top" wrapText="1"/>
    </xf>
    <xf numFmtId="172" fontId="12" fillId="0" borderId="0" xfId="7" applyNumberFormat="1" applyFont="1" applyAlignment="1">
      <alignment horizontal="right" vertical="top" wrapText="1"/>
    </xf>
    <xf numFmtId="43" fontId="10" fillId="0" borderId="0" xfId="4" applyFont="1" applyFill="1"/>
    <xf numFmtId="0" fontId="11" fillId="0" borderId="0" xfId="7" applyFont="1" applyFill="1" applyAlignment="1">
      <alignment vertical="top" wrapText="1"/>
    </xf>
    <xf numFmtId="0" fontId="11" fillId="0" borderId="0" xfId="7" applyFont="1" applyAlignment="1">
      <alignment vertical="top" wrapText="1"/>
    </xf>
    <xf numFmtId="0" fontId="4" fillId="0" borderId="0" xfId="7" applyFont="1" applyAlignment="1">
      <alignment vertical="top" wrapText="1"/>
    </xf>
    <xf numFmtId="0" fontId="14" fillId="0" borderId="0" xfId="8" applyFont="1"/>
    <xf numFmtId="0" fontId="4" fillId="7" borderId="0" xfId="7" applyFont="1" applyFill="1"/>
    <xf numFmtId="0" fontId="15" fillId="7" borderId="0" xfId="7" applyFont="1" applyFill="1"/>
    <xf numFmtId="173" fontId="4" fillId="7" borderId="0" xfId="7" applyNumberFormat="1" applyFont="1" applyFill="1"/>
    <xf numFmtId="0" fontId="4" fillId="0" borderId="0" xfId="7" applyFont="1"/>
    <xf numFmtId="0" fontId="11" fillId="3" borderId="0" xfId="7" applyFont="1" applyFill="1" applyAlignment="1">
      <alignment vertical="top" wrapText="1"/>
    </xf>
    <xf numFmtId="0" fontId="4" fillId="7" borderId="0" xfId="2" applyFont="1" applyFill="1"/>
    <xf numFmtId="10" fontId="5" fillId="0" borderId="0" xfId="5" applyNumberFormat="1" applyFont="1" applyAlignment="1">
      <alignment horizontal="right" vertical="top" wrapText="1"/>
    </xf>
    <xf numFmtId="0" fontId="16" fillId="7" borderId="0" xfId="2" applyFont="1" applyFill="1"/>
    <xf numFmtId="171" fontId="12" fillId="0" borderId="0" xfId="7" applyNumberFormat="1" applyFont="1" applyFill="1" applyAlignment="1">
      <alignment horizontal="right" vertical="top" wrapText="1"/>
    </xf>
    <xf numFmtId="0" fontId="17" fillId="3" borderId="0" xfId="2" applyFont="1" applyFill="1" applyAlignment="1">
      <alignment horizontal="right" wrapText="1"/>
    </xf>
    <xf numFmtId="0" fontId="17" fillId="7" borderId="0" xfId="2" applyFont="1" applyFill="1" applyAlignment="1">
      <alignment horizontal="right" wrapText="1"/>
    </xf>
    <xf numFmtId="0" fontId="20" fillId="3" borderId="0" xfId="7" applyFont="1" applyFill="1" applyAlignment="1">
      <alignment horizontal="left" vertical="top" wrapText="1"/>
    </xf>
    <xf numFmtId="0" fontId="20" fillId="0" borderId="0" xfId="7" applyFont="1" applyFill="1" applyAlignment="1">
      <alignment vertical="top" wrapText="1"/>
    </xf>
    <xf numFmtId="0" fontId="20" fillId="3" borderId="0" xfId="7" applyFont="1" applyFill="1" applyAlignment="1">
      <alignment vertical="top" wrapText="1"/>
    </xf>
    <xf numFmtId="0" fontId="20" fillId="3" borderId="0" xfId="7" applyFont="1" applyFill="1" applyAlignment="1">
      <alignment horizontal="right" vertical="top" wrapText="1"/>
    </xf>
    <xf numFmtId="0" fontId="22" fillId="0" borderId="0" xfId="8" applyFont="1"/>
    <xf numFmtId="0" fontId="23" fillId="7" borderId="0" xfId="7" applyFont="1" applyFill="1" applyAlignment="1">
      <alignment horizontal="center"/>
    </xf>
    <xf numFmtId="0" fontId="24" fillId="2" borderId="0" xfId="2" applyFont="1" applyFill="1" applyAlignment="1"/>
    <xf numFmtId="0" fontId="17" fillId="3" borderId="0" xfId="2" applyFont="1" applyFill="1" applyAlignment="1">
      <alignment wrapText="1"/>
    </xf>
    <xf numFmtId="0" fontId="25" fillId="3" borderId="0" xfId="2" applyFont="1" applyFill="1" applyAlignment="1">
      <alignment wrapText="1"/>
    </xf>
    <xf numFmtId="0" fontId="25" fillId="3" borderId="0" xfId="2" applyFont="1" applyFill="1" applyAlignment="1">
      <alignment horizontal="right" wrapText="1"/>
    </xf>
    <xf numFmtId="0" fontId="17" fillId="0" borderId="0" xfId="2" applyFont="1" applyAlignment="1">
      <alignment horizontal="left" vertical="top"/>
    </xf>
    <xf numFmtId="165" fontId="26" fillId="0" borderId="0" xfId="4" applyNumberFormat="1" applyFont="1" applyAlignment="1">
      <alignment horizontal="left" vertical="top"/>
    </xf>
    <xf numFmtId="0" fontId="26" fillId="0" borderId="0" xfId="2" applyFont="1" applyAlignment="1">
      <alignment horizontal="left" vertical="top"/>
    </xf>
    <xf numFmtId="165" fontId="26" fillId="0" borderId="0" xfId="4" applyNumberFormat="1" applyFont="1" applyAlignment="1">
      <alignment horizontal="right" vertical="top" wrapText="1"/>
    </xf>
    <xf numFmtId="165" fontId="17" fillId="0" borderId="1" xfId="4" applyNumberFormat="1" applyFont="1" applyBorder="1" applyAlignment="1">
      <alignment horizontal="right" vertical="top" wrapText="1"/>
    </xf>
    <xf numFmtId="165" fontId="17" fillId="0" borderId="0" xfId="4" applyNumberFormat="1" applyFont="1" applyAlignment="1">
      <alignment horizontal="right" vertical="top" wrapText="1"/>
    </xf>
    <xf numFmtId="165" fontId="27" fillId="0" borderId="1" xfId="4" applyNumberFormat="1" applyFont="1" applyBorder="1" applyAlignment="1">
      <alignment horizontal="right" vertical="top" wrapText="1"/>
    </xf>
    <xf numFmtId="0" fontId="28" fillId="0" borderId="0" xfId="2" applyFont="1" applyAlignment="1">
      <alignment vertical="top" wrapText="1"/>
    </xf>
    <xf numFmtId="0" fontId="28" fillId="0" borderId="0" xfId="2" applyFont="1"/>
    <xf numFmtId="0" fontId="26" fillId="2" borderId="0" xfId="2" applyNumberFormat="1" applyFont="1" applyFill="1" applyAlignment="1">
      <alignment horizontal="center" vertical="center"/>
    </xf>
    <xf numFmtId="0" fontId="28" fillId="2" borderId="0" xfId="2" applyFont="1" applyFill="1"/>
    <xf numFmtId="0" fontId="30" fillId="0" borderId="0" xfId="2" applyFont="1"/>
    <xf numFmtId="167" fontId="28" fillId="0" borderId="0" xfId="5" applyNumberFormat="1" applyFont="1"/>
    <xf numFmtId="167" fontId="28" fillId="0" borderId="0" xfId="5" applyNumberFormat="1" applyFont="1" applyFill="1"/>
    <xf numFmtId="10" fontId="28" fillId="8" borderId="0" xfId="5" applyNumberFormat="1" applyFont="1" applyFill="1"/>
    <xf numFmtId="0" fontId="17" fillId="8" borderId="0" xfId="2" applyFont="1" applyFill="1" applyAlignment="1">
      <alignment horizontal="right" wrapText="1"/>
    </xf>
    <xf numFmtId="167" fontId="28" fillId="8" borderId="0" xfId="2" applyNumberFormat="1" applyFont="1" applyFill="1"/>
    <xf numFmtId="0" fontId="24" fillId="4" borderId="0" xfId="2" applyFont="1" applyFill="1" applyAlignment="1"/>
    <xf numFmtId="166" fontId="17" fillId="3" borderId="0" xfId="2" applyNumberFormat="1" applyFont="1" applyFill="1" applyAlignment="1">
      <alignment horizontal="right" wrapText="1"/>
    </xf>
    <xf numFmtId="0" fontId="26" fillId="0" borderId="0" xfId="2" applyFont="1" applyFill="1" applyAlignment="1">
      <alignment horizontal="left" vertical="top"/>
    </xf>
    <xf numFmtId="0" fontId="17" fillId="0" borderId="0" xfId="2" applyFont="1" applyFill="1" applyAlignment="1">
      <alignment horizontal="left" vertical="top"/>
    </xf>
    <xf numFmtId="165" fontId="26" fillId="0" borderId="0" xfId="4" applyNumberFormat="1" applyFont="1" applyFill="1" applyAlignment="1">
      <alignment horizontal="left" vertical="top"/>
    </xf>
    <xf numFmtId="167" fontId="26" fillId="0" borderId="0" xfId="5" applyNumberFormat="1" applyFont="1" applyFill="1" applyAlignment="1">
      <alignment horizontal="left" vertical="top"/>
    </xf>
    <xf numFmtId="165" fontId="26" fillId="0" borderId="0" xfId="4" applyNumberFormat="1" applyFont="1" applyFill="1" applyAlignment="1">
      <alignment horizontal="right" vertical="top" wrapText="1"/>
    </xf>
    <xf numFmtId="165" fontId="31" fillId="0" borderId="0" xfId="4" applyNumberFormat="1" applyFont="1" applyAlignment="1">
      <alignment horizontal="right" vertical="top" wrapText="1"/>
    </xf>
    <xf numFmtId="0" fontId="26" fillId="0" borderId="0" xfId="2" applyNumberFormat="1" applyFont="1" applyAlignment="1">
      <alignment horizontal="center" vertical="center"/>
    </xf>
    <xf numFmtId="10" fontId="28" fillId="0" borderId="0" xfId="5" applyNumberFormat="1" applyFont="1"/>
    <xf numFmtId="0" fontId="25" fillId="8" borderId="0" xfId="2" applyFont="1" applyFill="1" applyAlignment="1">
      <alignment horizontal="right" wrapText="1"/>
    </xf>
    <xf numFmtId="0" fontId="17" fillId="7" borderId="0" xfId="2" applyFont="1" applyFill="1" applyAlignment="1">
      <alignment horizontal="left" vertical="top"/>
    </xf>
    <xf numFmtId="165" fontId="27" fillId="7" borderId="1" xfId="4" applyNumberFormat="1" applyFont="1" applyFill="1" applyBorder="1" applyAlignment="1">
      <alignment horizontal="right" vertical="top" wrapText="1"/>
    </xf>
    <xf numFmtId="165" fontId="27" fillId="7" borderId="0" xfId="4" applyNumberFormat="1" applyFont="1" applyFill="1" applyAlignment="1">
      <alignment horizontal="right" vertical="top" wrapText="1"/>
    </xf>
    <xf numFmtId="167" fontId="28" fillId="8" borderId="0" xfId="5" applyNumberFormat="1" applyFont="1" applyFill="1"/>
    <xf numFmtId="165" fontId="28" fillId="8" borderId="0" xfId="4" applyNumberFormat="1" applyFont="1" applyFill="1"/>
    <xf numFmtId="167" fontId="28" fillId="0" borderId="0" xfId="2" applyNumberFormat="1" applyFont="1"/>
    <xf numFmtId="0" fontId="32" fillId="2" borderId="0" xfId="3" applyFont="1" applyFill="1" applyAlignment="1"/>
    <xf numFmtId="0" fontId="28" fillId="8" borderId="0" xfId="2" applyFont="1" applyFill="1"/>
    <xf numFmtId="165" fontId="17" fillId="8" borderId="1" xfId="4" applyNumberFormat="1" applyFont="1" applyFill="1" applyBorder="1" applyAlignment="1">
      <alignment horizontal="right" vertical="top" wrapText="1"/>
    </xf>
    <xf numFmtId="165" fontId="26" fillId="8" borderId="0" xfId="4" applyNumberFormat="1" applyFont="1" applyFill="1" applyAlignment="1">
      <alignment horizontal="left" vertical="top"/>
    </xf>
    <xf numFmtId="165" fontId="26" fillId="8" borderId="0" xfId="4" applyNumberFormat="1" applyFont="1" applyFill="1" applyAlignment="1">
      <alignment horizontal="right" vertical="top" wrapText="1"/>
    </xf>
    <xf numFmtId="165" fontId="17" fillId="8" borderId="0" xfId="4" applyNumberFormat="1" applyFont="1" applyFill="1" applyAlignment="1">
      <alignment horizontal="right" vertical="top" wrapText="1"/>
    </xf>
    <xf numFmtId="165" fontId="27" fillId="8" borderId="1" xfId="4" applyNumberFormat="1" applyFont="1" applyFill="1" applyBorder="1" applyAlignment="1">
      <alignment horizontal="right" vertical="top" wrapText="1"/>
    </xf>
    <xf numFmtId="0" fontId="32" fillId="0" borderId="0" xfId="3" applyFont="1" applyAlignment="1"/>
    <xf numFmtId="164" fontId="28" fillId="0" borderId="0" xfId="2" applyNumberFormat="1" applyFont="1"/>
    <xf numFmtId="164" fontId="28" fillId="0" borderId="0" xfId="2" applyNumberFormat="1" applyFont="1" applyFill="1"/>
    <xf numFmtId="0" fontId="28" fillId="0" borderId="0" xfId="2" applyFont="1" applyFill="1"/>
    <xf numFmtId="10" fontId="26" fillId="0" borderId="0" xfId="5" applyNumberFormat="1" applyFont="1" applyFill="1" applyAlignment="1">
      <alignment horizontal="left" vertical="top"/>
    </xf>
    <xf numFmtId="10" fontId="26" fillId="8" borderId="0" xfId="5" applyNumberFormat="1" applyFont="1" applyFill="1" applyAlignment="1">
      <alignment horizontal="left" vertical="top"/>
    </xf>
    <xf numFmtId="164" fontId="28" fillId="7" borderId="0" xfId="2" applyNumberFormat="1" applyFont="1" applyFill="1"/>
    <xf numFmtId="0" fontId="28" fillId="7" borderId="0" xfId="2" applyFont="1" applyFill="1"/>
    <xf numFmtId="165" fontId="31" fillId="8" borderId="0" xfId="4" applyNumberFormat="1" applyFont="1" applyFill="1" applyAlignment="1">
      <alignment horizontal="right" vertical="top" wrapText="1"/>
    </xf>
    <xf numFmtId="168" fontId="17" fillId="7" borderId="0" xfId="2" applyNumberFormat="1" applyFont="1" applyFill="1" applyAlignment="1">
      <alignment horizontal="left" vertical="top"/>
    </xf>
    <xf numFmtId="0" fontId="30" fillId="7" borderId="0" xfId="2" applyFont="1" applyFill="1"/>
    <xf numFmtId="165" fontId="26" fillId="8" borderId="0" xfId="4" applyNumberFormat="1" applyFont="1" applyFill="1" applyAlignment="1">
      <alignment horizontal="center" vertical="top"/>
    </xf>
    <xf numFmtId="0" fontId="17" fillId="0" borderId="0" xfId="2" applyFont="1" applyAlignment="1">
      <alignment horizontal="right" vertical="top"/>
    </xf>
    <xf numFmtId="165" fontId="17" fillId="6" borderId="1" xfId="4" applyNumberFormat="1" applyFont="1" applyFill="1" applyBorder="1" applyAlignment="1">
      <alignment horizontal="right" vertical="top" wrapText="1"/>
    </xf>
    <xf numFmtId="165" fontId="33" fillId="6" borderId="0" xfId="4" applyNumberFormat="1" applyFont="1" applyFill="1" applyAlignment="1">
      <alignment horizontal="left" vertical="top"/>
    </xf>
    <xf numFmtId="43" fontId="17" fillId="0" borderId="1" xfId="4" applyFont="1" applyBorder="1" applyAlignment="1">
      <alignment horizontal="right" vertical="top" wrapText="1"/>
    </xf>
    <xf numFmtId="165" fontId="28" fillId="0" borderId="0" xfId="4" applyNumberFormat="1" applyFont="1"/>
    <xf numFmtId="0" fontId="26" fillId="0" borderId="0" xfId="2" applyNumberFormat="1" applyFont="1" applyAlignment="1">
      <alignment horizontal="center" vertical="center" wrapText="1"/>
    </xf>
    <xf numFmtId="165" fontId="28" fillId="0" borderId="0" xfId="2" applyNumberFormat="1" applyFont="1"/>
    <xf numFmtId="0" fontId="30" fillId="5" borderId="0" xfId="2" applyFont="1" applyFill="1"/>
    <xf numFmtId="167" fontId="30" fillId="5" borderId="0" xfId="5" applyNumberFormat="1" applyFont="1" applyFill="1"/>
    <xf numFmtId="0" fontId="30" fillId="5" borderId="2" xfId="2" applyFont="1" applyFill="1" applyBorder="1" applyAlignment="1">
      <alignment horizontal="center"/>
    </xf>
    <xf numFmtId="0" fontId="34" fillId="0" borderId="0" xfId="0" applyFont="1"/>
    <xf numFmtId="169" fontId="30" fillId="0" borderId="0" xfId="4" applyNumberFormat="1" applyFont="1"/>
    <xf numFmtId="0" fontId="28" fillId="5" borderId="0" xfId="2" applyFont="1" applyFill="1"/>
    <xf numFmtId="169" fontId="28" fillId="0" borderId="0" xfId="4" applyNumberFormat="1" applyFont="1"/>
    <xf numFmtId="0" fontId="35" fillId="0" borderId="0" xfId="0" applyFont="1"/>
    <xf numFmtId="10" fontId="34" fillId="0" borderId="0" xfId="0" applyNumberFormat="1" applyFont="1"/>
    <xf numFmtId="2" fontId="34" fillId="0" borderId="0" xfId="0" applyNumberFormat="1" applyFont="1"/>
    <xf numFmtId="167" fontId="34" fillId="0" borderId="0" xfId="0" applyNumberFormat="1" applyFont="1"/>
    <xf numFmtId="165" fontId="30" fillId="0" borderId="0" xfId="4" applyNumberFormat="1" applyFont="1"/>
    <xf numFmtId="10" fontId="34" fillId="0" borderId="0" xfId="1" applyNumberFormat="1" applyFont="1"/>
    <xf numFmtId="0" fontId="36" fillId="0" borderId="0" xfId="6" applyFont="1"/>
    <xf numFmtId="0" fontId="30" fillId="0" borderId="0" xfId="2" applyFont="1" applyAlignment="1">
      <alignment wrapText="1"/>
    </xf>
    <xf numFmtId="0" fontId="37" fillId="0" borderId="0" xfId="6" applyFont="1"/>
    <xf numFmtId="9" fontId="34" fillId="0" borderId="0" xfId="0" applyNumberFormat="1" applyFont="1"/>
    <xf numFmtId="16" fontId="34" fillId="0" borderId="0" xfId="0" applyNumberFormat="1" applyFont="1"/>
    <xf numFmtId="0" fontId="30" fillId="8" borderId="0" xfId="2" applyFont="1" applyFill="1"/>
    <xf numFmtId="170" fontId="30" fillId="8" borderId="0" xfId="2" applyNumberFormat="1" applyFont="1" applyFill="1"/>
    <xf numFmtId="165" fontId="30" fillId="8" borderId="0" xfId="4" applyNumberFormat="1" applyFont="1" applyFill="1"/>
    <xf numFmtId="10" fontId="30" fillId="8" borderId="0" xfId="2" applyNumberFormat="1" applyFont="1" applyFill="1"/>
    <xf numFmtId="10" fontId="34" fillId="8" borderId="0" xfId="1" applyNumberFormat="1" applyFont="1" applyFill="1"/>
    <xf numFmtId="0" fontId="21" fillId="8" borderId="0" xfId="7" applyFont="1" applyFill="1" applyAlignment="1">
      <alignment horizontal="center"/>
    </xf>
    <xf numFmtId="0" fontId="23" fillId="8" borderId="3" xfId="8" applyFont="1" applyFill="1" applyBorder="1"/>
    <xf numFmtId="169" fontId="15" fillId="8" borderId="4" xfId="4" applyNumberFormat="1" applyFont="1" applyFill="1" applyBorder="1"/>
    <xf numFmtId="173" fontId="15" fillId="8" borderId="5" xfId="7" applyNumberFormat="1" applyFont="1" applyFill="1" applyBorder="1" applyAlignment="1">
      <alignment horizontal="center"/>
    </xf>
    <xf numFmtId="0" fontId="4" fillId="0" borderId="0" xfId="7" applyFont="1" applyAlignment="1">
      <alignment horizontal="left"/>
    </xf>
    <xf numFmtId="0" fontId="10" fillId="9" borderId="0" xfId="7" applyFont="1" applyFill="1"/>
    <xf numFmtId="43" fontId="10" fillId="3" borderId="0" xfId="4" applyFont="1" applyFill="1"/>
    <xf numFmtId="174" fontId="12" fillId="0" borderId="0" xfId="7" applyNumberFormat="1" applyFont="1" applyAlignment="1">
      <alignment horizontal="right" vertical="top" wrapText="1"/>
    </xf>
    <xf numFmtId="174" fontId="12" fillId="0" borderId="0" xfId="7" applyNumberFormat="1" applyFont="1" applyFill="1" applyAlignment="1">
      <alignment horizontal="right" vertical="top" wrapText="1"/>
    </xf>
    <xf numFmtId="175" fontId="12" fillId="0" borderId="0" xfId="7" applyNumberFormat="1" applyFont="1" applyAlignment="1">
      <alignment horizontal="right" vertical="top" wrapText="1"/>
    </xf>
    <xf numFmtId="175" fontId="12" fillId="0" borderId="0" xfId="7" applyNumberFormat="1" applyFont="1" applyFill="1" applyAlignment="1">
      <alignment horizontal="right" vertical="top" wrapText="1"/>
    </xf>
    <xf numFmtId="176" fontId="12" fillId="0" borderId="0" xfId="7" applyNumberFormat="1" applyFont="1" applyFill="1" applyAlignment="1">
      <alignment horizontal="right" vertical="top" wrapText="1"/>
    </xf>
    <xf numFmtId="177" fontId="12" fillId="0" borderId="0" xfId="7" applyNumberFormat="1" applyFont="1" applyAlignment="1">
      <alignment horizontal="right" vertical="top" wrapText="1"/>
    </xf>
    <xf numFmtId="0" fontId="39" fillId="3" borderId="0" xfId="0" applyFont="1" applyFill="1" applyAlignment="1">
      <alignment horizontal="center"/>
    </xf>
    <xf numFmtId="43" fontId="10" fillId="3" borderId="0" xfId="7" applyNumberFormat="1" applyFont="1" applyFill="1"/>
    <xf numFmtId="0" fontId="18" fillId="3" borderId="0" xfId="7" applyFont="1" applyFill="1" applyAlignment="1">
      <alignment horizontal="center" vertical="top" wrapText="1"/>
    </xf>
    <xf numFmtId="43" fontId="19" fillId="3" borderId="0" xfId="7" applyNumberFormat="1" applyFont="1" applyFill="1"/>
    <xf numFmtId="43" fontId="10" fillId="0" borderId="0" xfId="4" applyFont="1" applyFill="1" applyAlignment="1">
      <alignment horizontal="right"/>
    </xf>
    <xf numFmtId="167" fontId="28" fillId="0" borderId="0" xfId="5" applyNumberFormat="1" applyFont="1" applyFill="1" applyAlignment="1">
      <alignment vertical="center"/>
    </xf>
    <xf numFmtId="169" fontId="28" fillId="0" borderId="0" xfId="2" applyNumberFormat="1" applyFont="1"/>
    <xf numFmtId="0" fontId="29" fillId="8" borderId="0" xfId="2" applyFont="1" applyFill="1" applyAlignment="1">
      <alignment horizontal="center"/>
    </xf>
    <xf numFmtId="0" fontId="38" fillId="2" borderId="0" xfId="3" applyFont="1" applyFill="1" applyAlignment="1">
      <alignment horizontal="center" wrapText="1"/>
    </xf>
    <xf numFmtId="0" fontId="4" fillId="0" borderId="0" xfId="7" applyFont="1" applyAlignment="1">
      <alignment horizontal="left" wrapText="1"/>
    </xf>
    <xf numFmtId="0" fontId="4" fillId="0" borderId="0" xfId="7" applyFont="1" applyAlignment="1">
      <alignment horizontal="left"/>
    </xf>
  </cellXfs>
  <cellStyles count="9">
    <cellStyle name="Comma 2" xfId="4"/>
    <cellStyle name="Hyperlink" xfId="6" builtinId="8"/>
    <cellStyle name="Invisible" xfId="3"/>
    <cellStyle name="Normal" xfId="0" builtinId="0"/>
    <cellStyle name="Normal 2" xfId="2"/>
    <cellStyle name="Normal 2 2" xfId="8"/>
    <cellStyle name="Normal 5" xfId="7"/>
    <cellStyle name="Percent" xfId="1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Return on Asset</a:t>
            </a:r>
          </a:p>
        </c:rich>
      </c:tx>
      <c:overlay val="1"/>
    </c:title>
    <c:plotArea>
      <c:layout/>
      <c:lineChart>
        <c:grouping val="standard"/>
        <c:ser>
          <c:idx val="0"/>
          <c:order val="0"/>
          <c:tx>
            <c:strRef>
              <c:f>'Ratio Analysis '!$B$2</c:f>
              <c:strCache>
                <c:ptCount val="1"/>
                <c:pt idx="0">
                  <c:v>Canadian Pacific Railway Limited (TSX:CP)</c:v>
                </c:pt>
              </c:strCache>
            </c:strRef>
          </c:tx>
          <c:cat>
            <c:numRef>
              <c:f>'Ratio Analysis '!$C$1:$L$1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'!$C$2:$L$2</c:f>
              <c:numCache>
                <c:formatCode>0.00%</c:formatCode>
                <c:ptCount val="10"/>
                <c:pt idx="0">
                  <c:v>6.2065000000000002E-2</c:v>
                </c:pt>
                <c:pt idx="1">
                  <c:v>5.8553000000000001E-2</c:v>
                </c:pt>
                <c:pt idx="2">
                  <c:v>4.5533999999999998E-2</c:v>
                </c:pt>
                <c:pt idx="3">
                  <c:v>3.4370999999999999E-2</c:v>
                </c:pt>
                <c:pt idx="4">
                  <c:v>5.0124000000000002E-2</c:v>
                </c:pt>
                <c:pt idx="5">
                  <c:v>4.3501999999999999E-2</c:v>
                </c:pt>
                <c:pt idx="6">
                  <c:v>5.6654000000000003E-2</c:v>
                </c:pt>
                <c:pt idx="7">
                  <c:v>7.3109999999999994E-2</c:v>
                </c:pt>
                <c:pt idx="8">
                  <c:v>8.6937E-2</c:v>
                </c:pt>
                <c:pt idx="9">
                  <c:v>8.9430999999999997E-2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E5-4F57-9BAE-F9A242687B74}"/>
            </c:ext>
          </c:extLst>
        </c:ser>
        <c:ser>
          <c:idx val="1"/>
          <c:order val="1"/>
          <c:tx>
            <c:strRef>
              <c:f>'Ratio Analysis '!$B$3</c:f>
              <c:strCache>
                <c:ptCount val="1"/>
                <c:pt idx="0">
                  <c:v>Canadian National Railway Company (TSX:CNR)</c:v>
                </c:pt>
              </c:strCache>
            </c:strRef>
          </c:tx>
          <c:cat>
            <c:numRef>
              <c:f>'Ratio Analysis '!$C$1:$L$1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'!$C$3:$L$3</c:f>
              <c:numCache>
                <c:formatCode>0.00%</c:formatCode>
                <c:ptCount val="10"/>
                <c:pt idx="0">
                  <c:v>8.1993999999999997E-2</c:v>
                </c:pt>
                <c:pt idx="1">
                  <c:v>7.5741000000000003E-2</c:v>
                </c:pt>
                <c:pt idx="2">
                  <c:v>7.2090000000000001E-2</c:v>
                </c:pt>
                <c:pt idx="3">
                  <c:v>5.9131999999999997E-2</c:v>
                </c:pt>
                <c:pt idx="4">
                  <c:v>7.5025999999999995E-2</c:v>
                </c:pt>
                <c:pt idx="5">
                  <c:v>8.0418000000000003E-2</c:v>
                </c:pt>
                <c:pt idx="6">
                  <c:v>8.7429999999999994E-2</c:v>
                </c:pt>
                <c:pt idx="7">
                  <c:v>8.5199999999999998E-2</c:v>
                </c:pt>
                <c:pt idx="8">
                  <c:v>9.3451000000000006E-2</c:v>
                </c:pt>
                <c:pt idx="9">
                  <c:v>9.6673999999999996E-2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E5-4F57-9BAE-F9A242687B74}"/>
            </c:ext>
          </c:extLst>
        </c:ser>
        <c:ser>
          <c:idx val="2"/>
          <c:order val="2"/>
          <c:tx>
            <c:strRef>
              <c:f>'Ratio Analysis '!$B$4</c:f>
              <c:strCache>
                <c:ptCount val="1"/>
                <c:pt idx="0">
                  <c:v>Norfolk Southern Corporation (NYSE:NSC)</c:v>
                </c:pt>
              </c:strCache>
            </c:strRef>
          </c:tx>
          <c:cat>
            <c:numRef>
              <c:f>'Ratio Analysis '!$C$1:$L$1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'!$C$4:$L$4</c:f>
              <c:numCache>
                <c:formatCode>0.00%</c:formatCode>
                <c:ptCount val="10"/>
                <c:pt idx="0">
                  <c:v>6.2177999999999997E-2</c:v>
                </c:pt>
                <c:pt idx="1">
                  <c:v>6.1934000000000003E-2</c:v>
                </c:pt>
                <c:pt idx="2">
                  <c:v>7.3511000000000007E-2</c:v>
                </c:pt>
                <c:pt idx="3">
                  <c:v>4.5698999999999997E-2</c:v>
                </c:pt>
                <c:pt idx="4">
                  <c:v>6.0196E-2</c:v>
                </c:pt>
                <c:pt idx="5">
                  <c:v>7.0787000000000003E-2</c:v>
                </c:pt>
                <c:pt idx="6">
                  <c:v>6.6321000000000005E-2</c:v>
                </c:pt>
                <c:pt idx="7">
                  <c:v>6.4802999999999999E-2</c:v>
                </c:pt>
                <c:pt idx="8">
                  <c:v>6.8034999999999998E-2</c:v>
                </c:pt>
                <c:pt idx="9">
                  <c:v>5.4704000000000003E-2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5E5-4F57-9BAE-F9A242687B74}"/>
            </c:ext>
          </c:extLst>
        </c:ser>
        <c:ser>
          <c:idx val="3"/>
          <c:order val="3"/>
          <c:tx>
            <c:strRef>
              <c:f>'Ratio Analysis '!$B$5</c:f>
              <c:strCache>
                <c:ptCount val="1"/>
                <c:pt idx="0">
                  <c:v>CSX Corporation (NasdaqGS:CSX)</c:v>
                </c:pt>
              </c:strCache>
            </c:strRef>
          </c:tx>
          <c:cat>
            <c:numRef>
              <c:f>'Ratio Analysis '!$C$1:$L$1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'!$C$5:$L$5</c:f>
              <c:numCache>
                <c:formatCode>0.00%</c:formatCode>
                <c:ptCount val="10"/>
                <c:pt idx="0">
                  <c:v>5.0166000000000002E-2</c:v>
                </c:pt>
                <c:pt idx="1">
                  <c:v>5.5759999999999997E-2</c:v>
                </c:pt>
                <c:pt idx="2">
                  <c:v>6.6355999999999998E-2</c:v>
                </c:pt>
                <c:pt idx="3">
                  <c:v>5.3360999999999999E-2</c:v>
                </c:pt>
                <c:pt idx="4">
                  <c:v>6.9759000000000002E-2</c:v>
                </c:pt>
                <c:pt idx="5">
                  <c:v>7.5453999999999993E-2</c:v>
                </c:pt>
                <c:pt idx="6">
                  <c:v>7.2085999999999997E-2</c:v>
                </c:pt>
                <c:pt idx="7">
                  <c:v>6.9454000000000002E-2</c:v>
                </c:pt>
                <c:pt idx="8">
                  <c:v>7.0408999999999999E-2</c:v>
                </c:pt>
                <c:pt idx="9">
                  <c:v>6.7017999999999994E-2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5E5-4F57-9BAE-F9A242687B74}"/>
            </c:ext>
          </c:extLst>
        </c:ser>
        <c:ser>
          <c:idx val="4"/>
          <c:order val="4"/>
          <c:tx>
            <c:strRef>
              <c:f>'Ratio Analysis '!$B$6</c:f>
              <c:strCache>
                <c:ptCount val="1"/>
                <c:pt idx="0">
                  <c:v>Union Pacific Corporation (NYSE:UNP)</c:v>
                </c:pt>
              </c:strCache>
            </c:strRef>
          </c:tx>
          <c:cat>
            <c:numRef>
              <c:f>'Ratio Analysis '!$C$1:$L$1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'!$C$6:$L$6</c:f>
              <c:numCache>
                <c:formatCode>0.00%</c:formatCode>
                <c:ptCount val="10"/>
                <c:pt idx="0">
                  <c:v>4.9577000000000003E-2</c:v>
                </c:pt>
                <c:pt idx="1">
                  <c:v>5.6591000000000002E-2</c:v>
                </c:pt>
                <c:pt idx="2">
                  <c:v>6.5429000000000001E-2</c:v>
                </c:pt>
                <c:pt idx="3">
                  <c:v>5.1568000000000003E-2</c:v>
                </c:pt>
                <c:pt idx="4">
                  <c:v>7.3676000000000005E-2</c:v>
                </c:pt>
                <c:pt idx="5">
                  <c:v>8.1137000000000001E-2</c:v>
                </c:pt>
                <c:pt idx="6">
                  <c:v>9.1396000000000005E-2</c:v>
                </c:pt>
                <c:pt idx="7">
                  <c:v>9.6068000000000001E-2</c:v>
                </c:pt>
                <c:pt idx="8">
                  <c:v>0.107158</c:v>
                </c:pt>
                <c:pt idx="9">
                  <c:v>9.4089999999999993E-2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E5-4F57-9BAE-F9A242687B74}"/>
            </c:ext>
          </c:extLst>
        </c:ser>
        <c:dLbls/>
        <c:marker val="1"/>
        <c:axId val="66208896"/>
        <c:axId val="66210432"/>
      </c:lineChart>
      <c:catAx>
        <c:axId val="66208896"/>
        <c:scaling>
          <c:orientation val="minMax"/>
        </c:scaling>
        <c:axPos val="b"/>
        <c:numFmt formatCode="General" sourceLinked="1"/>
        <c:tickLblPos val="nextTo"/>
        <c:txPr>
          <a:bodyPr rot="0" vert="eaVert"/>
          <a:lstStyle/>
          <a:p>
            <a:pPr>
              <a:defRPr/>
            </a:pPr>
            <a:endParaRPr lang="en-US"/>
          </a:p>
        </c:txPr>
        <c:crossAx val="66210432"/>
        <c:crosses val="autoZero"/>
        <c:auto val="1"/>
        <c:lblAlgn val="ctr"/>
        <c:lblOffset val="100"/>
      </c:catAx>
      <c:valAx>
        <c:axId val="66210432"/>
        <c:scaling>
          <c:orientation val="minMax"/>
        </c:scaling>
        <c:axPos val="l"/>
        <c:majorGridlines/>
        <c:numFmt formatCode="0.00%" sourceLinked="1"/>
        <c:tickLblPos val="nextTo"/>
        <c:crossAx val="66208896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Return on Equity</a:t>
            </a:r>
          </a:p>
        </c:rich>
      </c:tx>
      <c:overlay val="1"/>
    </c:title>
    <c:plotArea>
      <c:layout/>
      <c:lineChart>
        <c:grouping val="standard"/>
        <c:ser>
          <c:idx val="0"/>
          <c:order val="0"/>
          <c:tx>
            <c:strRef>
              <c:f>'Ratio Analysis '!$B$12</c:f>
              <c:strCache>
                <c:ptCount val="1"/>
                <c:pt idx="0">
                  <c:v>Canadian Pacific Railway Limited (TSX:CP)</c:v>
                </c:pt>
              </c:strCache>
            </c:strRef>
          </c:tx>
          <c:cat>
            <c:numRef>
              <c:f>'Ratio Analysis '!$C$11:$L$11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'!$C$12:$L$12</c:f>
              <c:numCache>
                <c:formatCode>0.00%</c:formatCode>
                <c:ptCount val="10"/>
                <c:pt idx="0">
                  <c:v>0.172348</c:v>
                </c:pt>
                <c:pt idx="1">
                  <c:v>0.18073700000000001</c:v>
                </c:pt>
                <c:pt idx="2">
                  <c:v>0.111834</c:v>
                </c:pt>
                <c:pt idx="3">
                  <c:v>0.10549</c:v>
                </c:pt>
                <c:pt idx="4">
                  <c:v>0.13731099999999999</c:v>
                </c:pt>
                <c:pt idx="5">
                  <c:v>0.120342</c:v>
                </c:pt>
                <c:pt idx="6">
                  <c:v>9.9321999999999994E-2</c:v>
                </c:pt>
                <c:pt idx="7">
                  <c:v>0.143513</c:v>
                </c:pt>
                <c:pt idx="8">
                  <c:v>0.23231199999999999</c:v>
                </c:pt>
                <c:pt idx="9">
                  <c:v>0.25985000000000003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6A-4A61-B358-1333260BE22F}"/>
            </c:ext>
          </c:extLst>
        </c:ser>
        <c:ser>
          <c:idx val="1"/>
          <c:order val="1"/>
          <c:tx>
            <c:strRef>
              <c:f>'Ratio Analysis '!$B$13</c:f>
              <c:strCache>
                <c:ptCount val="1"/>
                <c:pt idx="0">
                  <c:v>Canadian National Railway Company (TSX:CNR)</c:v>
                </c:pt>
              </c:strCache>
            </c:strRef>
          </c:tx>
          <c:cat>
            <c:numRef>
              <c:f>'Ratio Analysis '!$C$11:$L$11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'!$C$13:$L$13</c:f>
              <c:numCache>
                <c:formatCode>0.00%</c:formatCode>
                <c:ptCount val="10"/>
                <c:pt idx="0">
                  <c:v>0.21884300000000001</c:v>
                </c:pt>
                <c:pt idx="1">
                  <c:v>0.21578900000000001</c:v>
                </c:pt>
                <c:pt idx="2">
                  <c:v>0.18277299999999999</c:v>
                </c:pt>
                <c:pt idx="3">
                  <c:v>0.170154</c:v>
                </c:pt>
                <c:pt idx="4">
                  <c:v>0.18688099999999999</c:v>
                </c:pt>
                <c:pt idx="5">
                  <c:v>0.22372900000000001</c:v>
                </c:pt>
                <c:pt idx="6">
                  <c:v>0.247027</c:v>
                </c:pt>
                <c:pt idx="7">
                  <c:v>0.21792900000000001</c:v>
                </c:pt>
                <c:pt idx="8">
                  <c:v>0.23971500000000001</c:v>
                </c:pt>
                <c:pt idx="9">
                  <c:v>0.24897900000000001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6A-4A61-B358-1333260BE22F}"/>
            </c:ext>
          </c:extLst>
        </c:ser>
        <c:ser>
          <c:idx val="2"/>
          <c:order val="2"/>
          <c:tx>
            <c:strRef>
              <c:f>'Ratio Analysis '!$B$14</c:f>
              <c:strCache>
                <c:ptCount val="1"/>
                <c:pt idx="0">
                  <c:v>Norfolk Southern Corporation (NYSE:NSC)</c:v>
                </c:pt>
              </c:strCache>
            </c:strRef>
          </c:tx>
          <c:cat>
            <c:numRef>
              <c:f>'Ratio Analysis '!$C$11:$L$11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'!$C$14:$L$14</c:f>
              <c:numCache>
                <c:formatCode>0.00%</c:formatCode>
                <c:ptCount val="10"/>
                <c:pt idx="0">
                  <c:v>0.15679399999999999</c:v>
                </c:pt>
                <c:pt idx="1">
                  <c:v>0.15137999999999999</c:v>
                </c:pt>
                <c:pt idx="2">
                  <c:v>0.177511</c:v>
                </c:pt>
                <c:pt idx="3">
                  <c:v>0.103607</c:v>
                </c:pt>
                <c:pt idx="4">
                  <c:v>0.14232700000000001</c:v>
                </c:pt>
                <c:pt idx="5">
                  <c:v>0.1862</c:v>
                </c:pt>
                <c:pt idx="6">
                  <c:v>0.17782500000000001</c:v>
                </c:pt>
                <c:pt idx="7">
                  <c:v>0.181481</c:v>
                </c:pt>
                <c:pt idx="8">
                  <c:v>0.168797</c:v>
                </c:pt>
                <c:pt idx="9">
                  <c:v>0.126524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26A-4A61-B358-1333260BE22F}"/>
            </c:ext>
          </c:extLst>
        </c:ser>
        <c:ser>
          <c:idx val="3"/>
          <c:order val="3"/>
          <c:tx>
            <c:strRef>
              <c:f>'Ratio Analysis '!$B$15</c:f>
              <c:strCache>
                <c:ptCount val="1"/>
                <c:pt idx="0">
                  <c:v>CSX Corporation (NasdaqGS:CSX)</c:v>
                </c:pt>
              </c:strCache>
            </c:strRef>
          </c:tx>
          <c:cat>
            <c:numRef>
              <c:f>'Ratio Analysis '!$C$11:$L$11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'!$C$15:$L$15</c:f>
              <c:numCache>
                <c:formatCode>0.00%</c:formatCode>
                <c:ptCount val="10"/>
                <c:pt idx="0">
                  <c:v>0.154253</c:v>
                </c:pt>
                <c:pt idx="1">
                  <c:v>0.13936899999999999</c:v>
                </c:pt>
                <c:pt idx="2">
                  <c:v>0.17705899999999999</c:v>
                </c:pt>
                <c:pt idx="3">
                  <c:v>0.13399800000000001</c:v>
                </c:pt>
                <c:pt idx="4">
                  <c:v>0.178955</c:v>
                </c:pt>
                <c:pt idx="5">
                  <c:v>0.21598300000000001</c:v>
                </c:pt>
                <c:pt idx="6">
                  <c:v>0.21165600000000001</c:v>
                </c:pt>
                <c:pt idx="7">
                  <c:v>0.18981600000000001</c:v>
                </c:pt>
                <c:pt idx="8">
                  <c:v>0.17776700000000001</c:v>
                </c:pt>
                <c:pt idx="9">
                  <c:v>0.17229900000000001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26A-4A61-B358-1333260BE22F}"/>
            </c:ext>
          </c:extLst>
        </c:ser>
        <c:ser>
          <c:idx val="4"/>
          <c:order val="4"/>
          <c:tx>
            <c:strRef>
              <c:f>'Ratio Analysis '!$B$16</c:f>
              <c:strCache>
                <c:ptCount val="1"/>
                <c:pt idx="0">
                  <c:v>Union Pacific Corporation (NYSE:UNP)</c:v>
                </c:pt>
              </c:strCache>
            </c:strRef>
          </c:tx>
          <c:cat>
            <c:numRef>
              <c:f>'Ratio Analysis '!$C$11:$L$11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'!$C$16:$L$16</c:f>
              <c:numCache>
                <c:formatCode>0.00%</c:formatCode>
                <c:ptCount val="10"/>
                <c:pt idx="0">
                  <c:v>0.11068600000000001</c:v>
                </c:pt>
                <c:pt idx="1">
                  <c:v>0.120076</c:v>
                </c:pt>
                <c:pt idx="2">
                  <c:v>0.15048900000000001</c:v>
                </c:pt>
                <c:pt idx="3">
                  <c:v>0.117216</c:v>
                </c:pt>
                <c:pt idx="4">
                  <c:v>0.160861</c:v>
                </c:pt>
                <c:pt idx="5">
                  <c:v>0.181172</c:v>
                </c:pt>
                <c:pt idx="6">
                  <c:v>0.20507</c:v>
                </c:pt>
                <c:pt idx="7">
                  <c:v>0.21351700000000001</c:v>
                </c:pt>
                <c:pt idx="8">
                  <c:v>0.244258</c:v>
                </c:pt>
                <c:pt idx="9">
                  <c:v>0.227829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26A-4A61-B358-1333260BE22F}"/>
            </c:ext>
          </c:extLst>
        </c:ser>
        <c:dLbls/>
        <c:marker val="1"/>
        <c:axId val="66378752"/>
        <c:axId val="66544384"/>
      </c:lineChart>
      <c:catAx>
        <c:axId val="66378752"/>
        <c:scaling>
          <c:orientation val="minMax"/>
        </c:scaling>
        <c:axPos val="b"/>
        <c:numFmt formatCode="General" sourceLinked="1"/>
        <c:tickLblPos val="nextTo"/>
        <c:txPr>
          <a:bodyPr rot="0" vert="eaVert"/>
          <a:lstStyle/>
          <a:p>
            <a:pPr>
              <a:defRPr/>
            </a:pPr>
            <a:endParaRPr lang="en-US"/>
          </a:p>
        </c:txPr>
        <c:crossAx val="66544384"/>
        <c:crosses val="autoZero"/>
        <c:auto val="1"/>
        <c:lblAlgn val="ctr"/>
        <c:lblOffset val="100"/>
      </c:catAx>
      <c:valAx>
        <c:axId val="66544384"/>
        <c:scaling>
          <c:orientation val="minMax"/>
        </c:scaling>
        <c:axPos val="l"/>
        <c:majorGridlines/>
        <c:numFmt formatCode="0.00%" sourceLinked="1"/>
        <c:tickLblPos val="nextTo"/>
        <c:crossAx val="66378752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Gross</a:t>
            </a:r>
            <a:r>
              <a:rPr lang="en-US" baseline="0"/>
              <a:t> Margin</a:t>
            </a:r>
            <a:endParaRPr lang="en-US"/>
          </a:p>
        </c:rich>
      </c:tx>
      <c:overlay val="1"/>
    </c:title>
    <c:plotArea>
      <c:layout/>
      <c:lineChart>
        <c:grouping val="standard"/>
        <c:ser>
          <c:idx val="0"/>
          <c:order val="0"/>
          <c:tx>
            <c:strRef>
              <c:f>'Ratio Analysis '!$B$26</c:f>
              <c:strCache>
                <c:ptCount val="1"/>
                <c:pt idx="0">
                  <c:v>Canadian Pacific Railway Limited (TSX:CP)</c:v>
                </c:pt>
              </c:strCache>
            </c:strRef>
          </c:tx>
          <c:cat>
            <c:numRef>
              <c:f>'Ratio Analysis '!$C$25:$L$25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'!$C$26:$L$26</c:f>
              <c:numCache>
                <c:formatCode>0.00%</c:formatCode>
                <c:ptCount val="10"/>
                <c:pt idx="0">
                  <c:v>0.34450399999999998</c:v>
                </c:pt>
                <c:pt idx="1">
                  <c:v>0.33739000000000002</c:v>
                </c:pt>
                <c:pt idx="2">
                  <c:v>0.29061999999999999</c:v>
                </c:pt>
                <c:pt idx="3">
                  <c:v>0.292821</c:v>
                </c:pt>
                <c:pt idx="4">
                  <c:v>0.32222400000000001</c:v>
                </c:pt>
                <c:pt idx="5">
                  <c:v>0.28143699999999999</c:v>
                </c:pt>
                <c:pt idx="6">
                  <c:v>0.32414300000000001</c:v>
                </c:pt>
                <c:pt idx="7">
                  <c:v>0.40975</c:v>
                </c:pt>
                <c:pt idx="8">
                  <c:v>0.45030199999999998</c:v>
                </c:pt>
                <c:pt idx="9">
                  <c:v>0.48971900000000002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63-44A5-8BE5-2E9F1342370B}"/>
            </c:ext>
          </c:extLst>
        </c:ser>
        <c:ser>
          <c:idx val="1"/>
          <c:order val="1"/>
          <c:tx>
            <c:strRef>
              <c:f>'Ratio Analysis '!$B$27</c:f>
              <c:strCache>
                <c:ptCount val="1"/>
                <c:pt idx="0">
                  <c:v>Canadian National Railway Company (TSX:CNR)</c:v>
                </c:pt>
              </c:strCache>
            </c:strRef>
          </c:tx>
          <c:cat>
            <c:numRef>
              <c:f>'Ratio Analysis '!$C$25:$L$25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'!$C$27:$L$27</c:f>
              <c:numCache>
                <c:formatCode>0.00%</c:formatCode>
                <c:ptCount val="10"/>
                <c:pt idx="0">
                  <c:v>0.50308900000000001</c:v>
                </c:pt>
                <c:pt idx="1">
                  <c:v>0.49107200000000001</c:v>
                </c:pt>
                <c:pt idx="2">
                  <c:v>0.46604499999999999</c:v>
                </c:pt>
                <c:pt idx="3">
                  <c:v>0.48052099999999998</c:v>
                </c:pt>
                <c:pt idx="4">
                  <c:v>0.50934000000000001</c:v>
                </c:pt>
                <c:pt idx="5">
                  <c:v>0.49357499999999999</c:v>
                </c:pt>
                <c:pt idx="6">
                  <c:v>0.49868899999999999</c:v>
                </c:pt>
                <c:pt idx="7">
                  <c:v>0.48680800000000002</c:v>
                </c:pt>
                <c:pt idx="8">
                  <c:v>0.49793900000000002</c:v>
                </c:pt>
                <c:pt idx="9">
                  <c:v>0.54063899999999998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63-44A5-8BE5-2E9F1342370B}"/>
            </c:ext>
          </c:extLst>
        </c:ser>
        <c:ser>
          <c:idx val="2"/>
          <c:order val="2"/>
          <c:tx>
            <c:strRef>
              <c:f>'Ratio Analysis '!$B$28</c:f>
              <c:strCache>
                <c:ptCount val="1"/>
                <c:pt idx="0">
                  <c:v>Norfolk Southern Corporation (NYSE:NSC)</c:v>
                </c:pt>
              </c:strCache>
            </c:strRef>
          </c:tx>
          <c:cat>
            <c:numRef>
              <c:f>'Ratio Analysis '!$C$25:$L$25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'!$C$28:$L$28</c:f>
              <c:numCache>
                <c:formatCode>0.00%</c:formatCode>
                <c:ptCount val="10"/>
                <c:pt idx="0">
                  <c:v>0.35282200000000002</c:v>
                </c:pt>
                <c:pt idx="1">
                  <c:v>0.356234</c:v>
                </c:pt>
                <c:pt idx="2">
                  <c:v>0.36469299999999999</c:v>
                </c:pt>
                <c:pt idx="3">
                  <c:v>0.35123599999999999</c:v>
                </c:pt>
                <c:pt idx="4">
                  <c:v>0.36727599999999999</c:v>
                </c:pt>
                <c:pt idx="5">
                  <c:v>0.36475099999999999</c:v>
                </c:pt>
                <c:pt idx="6">
                  <c:v>0.36594199999999999</c:v>
                </c:pt>
                <c:pt idx="7">
                  <c:v>0.37109799999999998</c:v>
                </c:pt>
                <c:pt idx="8">
                  <c:v>0.38936599999999999</c:v>
                </c:pt>
                <c:pt idx="9">
                  <c:v>0.37465500000000002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663-44A5-8BE5-2E9F1342370B}"/>
            </c:ext>
          </c:extLst>
        </c:ser>
        <c:ser>
          <c:idx val="3"/>
          <c:order val="3"/>
          <c:tx>
            <c:strRef>
              <c:f>'Ratio Analysis '!$B$29</c:f>
              <c:strCache>
                <c:ptCount val="1"/>
                <c:pt idx="0">
                  <c:v>CSX Corporation (NasdaqGS:CSX)</c:v>
                </c:pt>
              </c:strCache>
            </c:strRef>
          </c:tx>
          <c:cat>
            <c:numRef>
              <c:f>'Ratio Analysis '!$C$25:$L$25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'!$C$29:$L$29</c:f>
              <c:numCache>
                <c:formatCode>0.00%</c:formatCode>
                <c:ptCount val="10"/>
                <c:pt idx="0">
                  <c:v>0.29667500000000002</c:v>
                </c:pt>
                <c:pt idx="1">
                  <c:v>0.313359</c:v>
                </c:pt>
                <c:pt idx="2">
                  <c:v>0.32438899999999998</c:v>
                </c:pt>
                <c:pt idx="3">
                  <c:v>0.35095599999999999</c:v>
                </c:pt>
                <c:pt idx="4">
                  <c:v>0.37777300000000003</c:v>
                </c:pt>
                <c:pt idx="5">
                  <c:v>0.37693900000000002</c:v>
                </c:pt>
                <c:pt idx="6">
                  <c:v>0.38451000000000002</c:v>
                </c:pt>
                <c:pt idx="7">
                  <c:v>0.38059199999999999</c:v>
                </c:pt>
                <c:pt idx="8">
                  <c:v>0.37911400000000001</c:v>
                </c:pt>
                <c:pt idx="9">
                  <c:v>0.41004099999999999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663-44A5-8BE5-2E9F1342370B}"/>
            </c:ext>
          </c:extLst>
        </c:ser>
        <c:ser>
          <c:idx val="4"/>
          <c:order val="4"/>
          <c:tx>
            <c:strRef>
              <c:f>'Ratio Analysis '!$B$30</c:f>
              <c:strCache>
                <c:ptCount val="1"/>
                <c:pt idx="0">
                  <c:v>Union Pacific Corporation (NYSE:UNP)</c:v>
                </c:pt>
              </c:strCache>
            </c:strRef>
          </c:tx>
          <c:cat>
            <c:numRef>
              <c:f>'Ratio Analysis '!$C$25:$L$25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'!$C$30:$L$30</c:f>
              <c:numCache>
                <c:formatCode>0.00%</c:formatCode>
                <c:ptCount val="10"/>
                <c:pt idx="0">
                  <c:v>0.31602200000000003</c:v>
                </c:pt>
                <c:pt idx="1">
                  <c:v>0.33341500000000002</c:v>
                </c:pt>
                <c:pt idx="2">
                  <c:v>0.349248</c:v>
                </c:pt>
                <c:pt idx="3">
                  <c:v>0.38839000000000001</c:v>
                </c:pt>
                <c:pt idx="4">
                  <c:v>0.42363600000000001</c:v>
                </c:pt>
                <c:pt idx="5">
                  <c:v>0.41535</c:v>
                </c:pt>
                <c:pt idx="6">
                  <c:v>0.44408799999999998</c:v>
                </c:pt>
                <c:pt idx="7">
                  <c:v>0.45858900000000002</c:v>
                </c:pt>
                <c:pt idx="8">
                  <c:v>0.48278300000000002</c:v>
                </c:pt>
                <c:pt idx="9">
                  <c:v>0.50373599999999996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663-44A5-8BE5-2E9F1342370B}"/>
            </c:ext>
          </c:extLst>
        </c:ser>
        <c:dLbls/>
        <c:marker val="1"/>
        <c:axId val="58496128"/>
        <c:axId val="58497664"/>
      </c:lineChart>
      <c:catAx>
        <c:axId val="58496128"/>
        <c:scaling>
          <c:orientation val="minMax"/>
        </c:scaling>
        <c:axPos val="b"/>
        <c:numFmt formatCode="General" sourceLinked="1"/>
        <c:tickLblPos val="nextTo"/>
        <c:txPr>
          <a:bodyPr rot="0" vert="eaVert"/>
          <a:lstStyle/>
          <a:p>
            <a:pPr>
              <a:defRPr/>
            </a:pPr>
            <a:endParaRPr lang="en-US"/>
          </a:p>
        </c:txPr>
        <c:crossAx val="58497664"/>
        <c:crosses val="autoZero"/>
        <c:auto val="1"/>
        <c:lblAlgn val="ctr"/>
        <c:lblOffset val="100"/>
      </c:catAx>
      <c:valAx>
        <c:axId val="58497664"/>
        <c:scaling>
          <c:orientation val="minMax"/>
        </c:scaling>
        <c:axPos val="l"/>
        <c:majorGridlines/>
        <c:numFmt formatCode="0.00%" sourceLinked="1"/>
        <c:tickLblPos val="nextTo"/>
        <c:crossAx val="58496128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Net</a:t>
            </a:r>
            <a:r>
              <a:rPr lang="en-US" baseline="0"/>
              <a:t> Income Margin</a:t>
            </a:r>
            <a:endParaRPr lang="en-US"/>
          </a:p>
        </c:rich>
      </c:tx>
      <c:overlay val="1"/>
    </c:title>
    <c:plotArea>
      <c:layout/>
      <c:lineChart>
        <c:grouping val="standard"/>
        <c:ser>
          <c:idx val="0"/>
          <c:order val="0"/>
          <c:tx>
            <c:strRef>
              <c:f>'Ratio Analysis '!$B$37</c:f>
              <c:strCache>
                <c:ptCount val="1"/>
                <c:pt idx="0">
                  <c:v>Canadian Pacific Railway Limited (TSX:CP)</c:v>
                </c:pt>
              </c:strCache>
            </c:strRef>
          </c:tx>
          <c:cat>
            <c:numRef>
              <c:f>'Ratio Analysis '!$C$36:$L$36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'!$C$37:$L$37</c:f>
              <c:numCache>
                <c:formatCode>0.00%</c:formatCode>
                <c:ptCount val="10"/>
                <c:pt idx="0">
                  <c:v>0.174542</c:v>
                </c:pt>
                <c:pt idx="1">
                  <c:v>0.19799800000000001</c:v>
                </c:pt>
                <c:pt idx="2">
                  <c:v>0.12435300000000001</c:v>
                </c:pt>
                <c:pt idx="3">
                  <c:v>0.124943</c:v>
                </c:pt>
                <c:pt idx="4">
                  <c:v>0.13069600000000001</c:v>
                </c:pt>
                <c:pt idx="5">
                  <c:v>0.11010200000000001</c:v>
                </c:pt>
                <c:pt idx="6">
                  <c:v>8.4986000000000006E-2</c:v>
                </c:pt>
                <c:pt idx="7">
                  <c:v>0.14266999999999999</c:v>
                </c:pt>
                <c:pt idx="8">
                  <c:v>0.22295999999999999</c:v>
                </c:pt>
                <c:pt idx="9">
                  <c:v>0.20143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FE-45AF-B55D-F7B9113E07FC}"/>
            </c:ext>
          </c:extLst>
        </c:ser>
        <c:ser>
          <c:idx val="1"/>
          <c:order val="1"/>
          <c:tx>
            <c:strRef>
              <c:f>'Ratio Analysis '!$B$38</c:f>
              <c:strCache>
                <c:ptCount val="1"/>
                <c:pt idx="0">
                  <c:v>Canadian National Railway Company (TSX:CNR)</c:v>
                </c:pt>
              </c:strCache>
            </c:strRef>
          </c:tx>
          <c:cat>
            <c:numRef>
              <c:f>'Ratio Analysis '!$C$36:$L$36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'!$C$38:$L$38</c:f>
              <c:numCache>
                <c:formatCode>0.00%</c:formatCode>
                <c:ptCount val="10"/>
                <c:pt idx="0">
                  <c:v>0.26321</c:v>
                </c:pt>
                <c:pt idx="1">
                  <c:v>0.27326800000000001</c:v>
                </c:pt>
                <c:pt idx="2">
                  <c:v>0.223414</c:v>
                </c:pt>
                <c:pt idx="3">
                  <c:v>0.251662</c:v>
                </c:pt>
                <c:pt idx="4">
                  <c:v>0.253585</c:v>
                </c:pt>
                <c:pt idx="5">
                  <c:v>0.27215299999999998</c:v>
                </c:pt>
                <c:pt idx="6">
                  <c:v>0.27016099999999998</c:v>
                </c:pt>
                <c:pt idx="7">
                  <c:v>0.24699699999999999</c:v>
                </c:pt>
                <c:pt idx="8">
                  <c:v>0.26100200000000001</c:v>
                </c:pt>
                <c:pt idx="9">
                  <c:v>0.28054800000000002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FE-45AF-B55D-F7B9113E07FC}"/>
            </c:ext>
          </c:extLst>
        </c:ser>
        <c:ser>
          <c:idx val="2"/>
          <c:order val="2"/>
          <c:tx>
            <c:strRef>
              <c:f>'Ratio Analysis '!$B$39</c:f>
              <c:strCache>
                <c:ptCount val="1"/>
                <c:pt idx="0">
                  <c:v>Norfolk Southern Corporation (NYSE:NSC)</c:v>
                </c:pt>
              </c:strCache>
            </c:strRef>
          </c:tx>
          <c:cat>
            <c:numRef>
              <c:f>'Ratio Analysis '!$C$36:$L$36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'!$C$39:$L$39</c:f>
              <c:numCache>
                <c:formatCode>0.00%</c:formatCode>
                <c:ptCount val="10"/>
                <c:pt idx="0">
                  <c:v>0.15743499999999999</c:v>
                </c:pt>
                <c:pt idx="1">
                  <c:v>0.15521599999999999</c:v>
                </c:pt>
                <c:pt idx="2">
                  <c:v>0.16095999999999999</c:v>
                </c:pt>
                <c:pt idx="3">
                  <c:v>0.12975200000000001</c:v>
                </c:pt>
                <c:pt idx="4">
                  <c:v>0.15720799999999999</c:v>
                </c:pt>
                <c:pt idx="5">
                  <c:v>0.17150000000000001</c:v>
                </c:pt>
                <c:pt idx="6">
                  <c:v>0.15842300000000001</c:v>
                </c:pt>
                <c:pt idx="7">
                  <c:v>0.169853</c:v>
                </c:pt>
                <c:pt idx="8">
                  <c:v>0.17205699999999999</c:v>
                </c:pt>
                <c:pt idx="9">
                  <c:v>0.148035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FE-45AF-B55D-F7B9113E07FC}"/>
            </c:ext>
          </c:extLst>
        </c:ser>
        <c:ser>
          <c:idx val="3"/>
          <c:order val="3"/>
          <c:tx>
            <c:strRef>
              <c:f>'Ratio Analysis '!$B$40</c:f>
              <c:strCache>
                <c:ptCount val="1"/>
                <c:pt idx="0">
                  <c:v>CSX Corporation (NasdaqGS:CSX)</c:v>
                </c:pt>
              </c:strCache>
            </c:strRef>
          </c:tx>
          <c:cat>
            <c:numRef>
              <c:f>'Ratio Analysis '!$C$36:$L$36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'!$C$40:$L$40</c:f>
              <c:numCache>
                <c:formatCode>0.00%</c:formatCode>
                <c:ptCount val="10"/>
                <c:pt idx="0">
                  <c:v>0.13694300000000001</c:v>
                </c:pt>
                <c:pt idx="1">
                  <c:v>0.13320000000000001</c:v>
                </c:pt>
                <c:pt idx="2">
                  <c:v>0.12039</c:v>
                </c:pt>
                <c:pt idx="3">
                  <c:v>0.12642400000000001</c:v>
                </c:pt>
                <c:pt idx="4">
                  <c:v>0.146953</c:v>
                </c:pt>
                <c:pt idx="5">
                  <c:v>0.15718499999999999</c:v>
                </c:pt>
                <c:pt idx="6">
                  <c:v>0.15837699999999999</c:v>
                </c:pt>
                <c:pt idx="7">
                  <c:v>0.154997</c:v>
                </c:pt>
                <c:pt idx="8">
                  <c:v>0.15210299999999999</c:v>
                </c:pt>
                <c:pt idx="9">
                  <c:v>0.16662399999999999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FE-45AF-B55D-F7B9113E07FC}"/>
            </c:ext>
          </c:extLst>
        </c:ser>
        <c:ser>
          <c:idx val="4"/>
          <c:order val="4"/>
          <c:tx>
            <c:strRef>
              <c:f>'Ratio Analysis '!$B$41</c:f>
              <c:strCache>
                <c:ptCount val="1"/>
                <c:pt idx="0">
                  <c:v>Union Pacific Corporation (NYSE:UNP)</c:v>
                </c:pt>
              </c:strCache>
            </c:strRef>
          </c:tx>
          <c:cat>
            <c:numRef>
              <c:f>'Ratio Analysis '!$C$36:$L$36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'Ratio Analysis '!$C$41:$L$41</c:f>
              <c:numCache>
                <c:formatCode>0.00%</c:formatCode>
                <c:ptCount val="10"/>
                <c:pt idx="0">
                  <c:v>0.10309400000000001</c:v>
                </c:pt>
                <c:pt idx="1">
                  <c:v>0.113922</c:v>
                </c:pt>
                <c:pt idx="2">
                  <c:v>0.129938</c:v>
                </c:pt>
                <c:pt idx="3">
                  <c:v>0.133635</c:v>
                </c:pt>
                <c:pt idx="4">
                  <c:v>0.16386600000000001</c:v>
                </c:pt>
                <c:pt idx="5">
                  <c:v>0.16832800000000001</c:v>
                </c:pt>
                <c:pt idx="6">
                  <c:v>0.18842500000000001</c:v>
                </c:pt>
                <c:pt idx="7">
                  <c:v>0.19979</c:v>
                </c:pt>
                <c:pt idx="8">
                  <c:v>0.21594099999999999</c:v>
                </c:pt>
                <c:pt idx="9">
                  <c:v>0.21876799999999999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FE-45AF-B55D-F7B9113E07FC}"/>
            </c:ext>
          </c:extLst>
        </c:ser>
        <c:dLbls/>
        <c:marker val="1"/>
        <c:axId val="58894208"/>
        <c:axId val="58895744"/>
      </c:lineChart>
      <c:catAx>
        <c:axId val="58894208"/>
        <c:scaling>
          <c:orientation val="minMax"/>
        </c:scaling>
        <c:axPos val="b"/>
        <c:numFmt formatCode="General" sourceLinked="1"/>
        <c:tickLblPos val="nextTo"/>
        <c:crossAx val="58895744"/>
        <c:crosses val="autoZero"/>
        <c:auto val="1"/>
        <c:lblAlgn val="ctr"/>
        <c:lblOffset val="100"/>
      </c:catAx>
      <c:valAx>
        <c:axId val="58895744"/>
        <c:scaling>
          <c:orientation val="minMax"/>
        </c:scaling>
        <c:axPos val="l"/>
        <c:majorGridlines/>
        <c:numFmt formatCode="0.00%" sourceLinked="1"/>
        <c:tickLblPos val="nextTo"/>
        <c:crossAx val="58894208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504825</xdr:colOff>
      <xdr:row>2</xdr:row>
      <xdr:rowOff>85725</xdr:rowOff>
    </xdr:from>
    <xdr:to>
      <xdr:col>19</xdr:col>
      <xdr:colOff>209550</xdr:colOff>
      <xdr:row>26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257175</xdr:colOff>
      <xdr:row>2</xdr:row>
      <xdr:rowOff>76200</xdr:rowOff>
    </xdr:from>
    <xdr:to>
      <xdr:col>26</xdr:col>
      <xdr:colOff>504825</xdr:colOff>
      <xdr:row>25</xdr:row>
      <xdr:rowOff>142875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276225</xdr:colOff>
      <xdr:row>29</xdr:row>
      <xdr:rowOff>38100</xdr:rowOff>
    </xdr:from>
    <xdr:to>
      <xdr:col>27</xdr:col>
      <xdr:colOff>495300</xdr:colOff>
      <xdr:row>52</xdr:row>
      <xdr:rowOff>104775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381000</xdr:colOff>
      <xdr:row>29</xdr:row>
      <xdr:rowOff>66675</xdr:rowOff>
    </xdr:from>
    <xdr:to>
      <xdr:col>20</xdr:col>
      <xdr:colOff>85725</xdr:colOff>
      <xdr:row>50</xdr:row>
      <xdr:rowOff>66675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flation.eu/inflation-rates/canada/historic-inflation/cpi-inflation-canada.asp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  <outlinePr summaryBelow="0" summaryRight="0"/>
    <pageSetUpPr autoPageBreaks="0"/>
  </sheetPr>
  <dimension ref="A5:IS61"/>
  <sheetViews>
    <sheetView zoomScale="90" zoomScaleNormal="90" zoomScalePageLayoutView="90" workbookViewId="0">
      <pane xSplit="1" ySplit="7" topLeftCell="B42" activePane="bottomRight" state="frozen"/>
      <selection activeCell="I62" sqref="I62"/>
      <selection pane="topRight" activeCell="I62" sqref="I62"/>
      <selection pane="bottomLeft" activeCell="I62" sqref="I62"/>
      <selection pane="bottomRight" activeCell="I62" sqref="I62"/>
    </sheetView>
  </sheetViews>
  <sheetFormatPr defaultColWidth="8.85546875" defaultRowHeight="11.25"/>
  <cols>
    <col min="1" max="1" width="32.28515625" style="47" customWidth="1"/>
    <col min="2" max="2" width="11.7109375" style="47" customWidth="1"/>
    <col min="3" max="11" width="9.28515625" style="47" customWidth="1"/>
    <col min="12" max="21" width="9.42578125" style="47" customWidth="1"/>
    <col min="22" max="256" width="8.85546875" style="47"/>
    <col min="257" max="257" width="27.7109375" style="47" customWidth="1"/>
    <col min="258" max="258" width="11.7109375" style="47" customWidth="1"/>
    <col min="259" max="267" width="9.28515625" style="47" customWidth="1"/>
    <col min="268" max="277" width="9.42578125" style="47" customWidth="1"/>
    <col min="278" max="512" width="8.85546875" style="47"/>
    <col min="513" max="513" width="27.7109375" style="47" customWidth="1"/>
    <col min="514" max="514" width="11.7109375" style="47" customWidth="1"/>
    <col min="515" max="523" width="9.28515625" style="47" customWidth="1"/>
    <col min="524" max="533" width="9.42578125" style="47" customWidth="1"/>
    <col min="534" max="768" width="8.85546875" style="47"/>
    <col min="769" max="769" width="27.7109375" style="47" customWidth="1"/>
    <col min="770" max="770" width="11.7109375" style="47" customWidth="1"/>
    <col min="771" max="779" width="9.28515625" style="47" customWidth="1"/>
    <col min="780" max="789" width="9.42578125" style="47" customWidth="1"/>
    <col min="790" max="1024" width="8.85546875" style="47"/>
    <col min="1025" max="1025" width="27.7109375" style="47" customWidth="1"/>
    <col min="1026" max="1026" width="11.7109375" style="47" customWidth="1"/>
    <col min="1027" max="1035" width="9.28515625" style="47" customWidth="1"/>
    <col min="1036" max="1045" width="9.42578125" style="47" customWidth="1"/>
    <col min="1046" max="1280" width="8.85546875" style="47"/>
    <col min="1281" max="1281" width="27.7109375" style="47" customWidth="1"/>
    <col min="1282" max="1282" width="11.7109375" style="47" customWidth="1"/>
    <col min="1283" max="1291" width="9.28515625" style="47" customWidth="1"/>
    <col min="1292" max="1301" width="9.42578125" style="47" customWidth="1"/>
    <col min="1302" max="1536" width="8.85546875" style="47"/>
    <col min="1537" max="1537" width="27.7109375" style="47" customWidth="1"/>
    <col min="1538" max="1538" width="11.7109375" style="47" customWidth="1"/>
    <col min="1539" max="1547" width="9.28515625" style="47" customWidth="1"/>
    <col min="1548" max="1557" width="9.42578125" style="47" customWidth="1"/>
    <col min="1558" max="1792" width="8.85546875" style="47"/>
    <col min="1793" max="1793" width="27.7109375" style="47" customWidth="1"/>
    <col min="1794" max="1794" width="11.7109375" style="47" customWidth="1"/>
    <col min="1795" max="1803" width="9.28515625" style="47" customWidth="1"/>
    <col min="1804" max="1813" width="9.42578125" style="47" customWidth="1"/>
    <col min="1814" max="2048" width="8.85546875" style="47"/>
    <col min="2049" max="2049" width="27.7109375" style="47" customWidth="1"/>
    <col min="2050" max="2050" width="11.7109375" style="47" customWidth="1"/>
    <col min="2051" max="2059" width="9.28515625" style="47" customWidth="1"/>
    <col min="2060" max="2069" width="9.42578125" style="47" customWidth="1"/>
    <col min="2070" max="2304" width="8.85546875" style="47"/>
    <col min="2305" max="2305" width="27.7109375" style="47" customWidth="1"/>
    <col min="2306" max="2306" width="11.7109375" style="47" customWidth="1"/>
    <col min="2307" max="2315" width="9.28515625" style="47" customWidth="1"/>
    <col min="2316" max="2325" width="9.42578125" style="47" customWidth="1"/>
    <col min="2326" max="2560" width="8.85546875" style="47"/>
    <col min="2561" max="2561" width="27.7109375" style="47" customWidth="1"/>
    <col min="2562" max="2562" width="11.7109375" style="47" customWidth="1"/>
    <col min="2563" max="2571" width="9.28515625" style="47" customWidth="1"/>
    <col min="2572" max="2581" width="9.42578125" style="47" customWidth="1"/>
    <col min="2582" max="2816" width="8.85546875" style="47"/>
    <col min="2817" max="2817" width="27.7109375" style="47" customWidth="1"/>
    <col min="2818" max="2818" width="11.7109375" style="47" customWidth="1"/>
    <col min="2819" max="2827" width="9.28515625" style="47" customWidth="1"/>
    <col min="2828" max="2837" width="9.42578125" style="47" customWidth="1"/>
    <col min="2838" max="3072" width="8.85546875" style="47"/>
    <col min="3073" max="3073" width="27.7109375" style="47" customWidth="1"/>
    <col min="3074" max="3074" width="11.7109375" style="47" customWidth="1"/>
    <col min="3075" max="3083" width="9.28515625" style="47" customWidth="1"/>
    <col min="3084" max="3093" width="9.42578125" style="47" customWidth="1"/>
    <col min="3094" max="3328" width="8.85546875" style="47"/>
    <col min="3329" max="3329" width="27.7109375" style="47" customWidth="1"/>
    <col min="3330" max="3330" width="11.7109375" style="47" customWidth="1"/>
    <col min="3331" max="3339" width="9.28515625" style="47" customWidth="1"/>
    <col min="3340" max="3349" width="9.42578125" style="47" customWidth="1"/>
    <col min="3350" max="3584" width="8.85546875" style="47"/>
    <col min="3585" max="3585" width="27.7109375" style="47" customWidth="1"/>
    <col min="3586" max="3586" width="11.7109375" style="47" customWidth="1"/>
    <col min="3587" max="3595" width="9.28515625" style="47" customWidth="1"/>
    <col min="3596" max="3605" width="9.42578125" style="47" customWidth="1"/>
    <col min="3606" max="3840" width="8.85546875" style="47"/>
    <col min="3841" max="3841" width="27.7109375" style="47" customWidth="1"/>
    <col min="3842" max="3842" width="11.7109375" style="47" customWidth="1"/>
    <col min="3843" max="3851" width="9.28515625" style="47" customWidth="1"/>
    <col min="3852" max="3861" width="9.42578125" style="47" customWidth="1"/>
    <col min="3862" max="4096" width="8.85546875" style="47"/>
    <col min="4097" max="4097" width="27.7109375" style="47" customWidth="1"/>
    <col min="4098" max="4098" width="11.7109375" style="47" customWidth="1"/>
    <col min="4099" max="4107" width="9.28515625" style="47" customWidth="1"/>
    <col min="4108" max="4117" width="9.42578125" style="47" customWidth="1"/>
    <col min="4118" max="4352" width="8.85546875" style="47"/>
    <col min="4353" max="4353" width="27.7109375" style="47" customWidth="1"/>
    <col min="4354" max="4354" width="11.7109375" style="47" customWidth="1"/>
    <col min="4355" max="4363" width="9.28515625" style="47" customWidth="1"/>
    <col min="4364" max="4373" width="9.42578125" style="47" customWidth="1"/>
    <col min="4374" max="4608" width="8.85546875" style="47"/>
    <col min="4609" max="4609" width="27.7109375" style="47" customWidth="1"/>
    <col min="4610" max="4610" width="11.7109375" style="47" customWidth="1"/>
    <col min="4611" max="4619" width="9.28515625" style="47" customWidth="1"/>
    <col min="4620" max="4629" width="9.42578125" style="47" customWidth="1"/>
    <col min="4630" max="4864" width="8.85546875" style="47"/>
    <col min="4865" max="4865" width="27.7109375" style="47" customWidth="1"/>
    <col min="4866" max="4866" width="11.7109375" style="47" customWidth="1"/>
    <col min="4867" max="4875" width="9.28515625" style="47" customWidth="1"/>
    <col min="4876" max="4885" width="9.42578125" style="47" customWidth="1"/>
    <col min="4886" max="5120" width="8.85546875" style="47"/>
    <col min="5121" max="5121" width="27.7109375" style="47" customWidth="1"/>
    <col min="5122" max="5122" width="11.7109375" style="47" customWidth="1"/>
    <col min="5123" max="5131" width="9.28515625" style="47" customWidth="1"/>
    <col min="5132" max="5141" width="9.42578125" style="47" customWidth="1"/>
    <col min="5142" max="5376" width="8.85546875" style="47"/>
    <col min="5377" max="5377" width="27.7109375" style="47" customWidth="1"/>
    <col min="5378" max="5378" width="11.7109375" style="47" customWidth="1"/>
    <col min="5379" max="5387" width="9.28515625" style="47" customWidth="1"/>
    <col min="5388" max="5397" width="9.42578125" style="47" customWidth="1"/>
    <col min="5398" max="5632" width="8.85546875" style="47"/>
    <col min="5633" max="5633" width="27.7109375" style="47" customWidth="1"/>
    <col min="5634" max="5634" width="11.7109375" style="47" customWidth="1"/>
    <col min="5635" max="5643" width="9.28515625" style="47" customWidth="1"/>
    <col min="5644" max="5653" width="9.42578125" style="47" customWidth="1"/>
    <col min="5654" max="5888" width="8.85546875" style="47"/>
    <col min="5889" max="5889" width="27.7109375" style="47" customWidth="1"/>
    <col min="5890" max="5890" width="11.7109375" style="47" customWidth="1"/>
    <col min="5891" max="5899" width="9.28515625" style="47" customWidth="1"/>
    <col min="5900" max="5909" width="9.42578125" style="47" customWidth="1"/>
    <col min="5910" max="6144" width="8.85546875" style="47"/>
    <col min="6145" max="6145" width="27.7109375" style="47" customWidth="1"/>
    <col min="6146" max="6146" width="11.7109375" style="47" customWidth="1"/>
    <col min="6147" max="6155" width="9.28515625" style="47" customWidth="1"/>
    <col min="6156" max="6165" width="9.42578125" style="47" customWidth="1"/>
    <col min="6166" max="6400" width="8.85546875" style="47"/>
    <col min="6401" max="6401" width="27.7109375" style="47" customWidth="1"/>
    <col min="6402" max="6402" width="11.7109375" style="47" customWidth="1"/>
    <col min="6403" max="6411" width="9.28515625" style="47" customWidth="1"/>
    <col min="6412" max="6421" width="9.42578125" style="47" customWidth="1"/>
    <col min="6422" max="6656" width="8.85546875" style="47"/>
    <col min="6657" max="6657" width="27.7109375" style="47" customWidth="1"/>
    <col min="6658" max="6658" width="11.7109375" style="47" customWidth="1"/>
    <col min="6659" max="6667" width="9.28515625" style="47" customWidth="1"/>
    <col min="6668" max="6677" width="9.42578125" style="47" customWidth="1"/>
    <col min="6678" max="6912" width="8.85546875" style="47"/>
    <col min="6913" max="6913" width="27.7109375" style="47" customWidth="1"/>
    <col min="6914" max="6914" width="11.7109375" style="47" customWidth="1"/>
    <col min="6915" max="6923" width="9.28515625" style="47" customWidth="1"/>
    <col min="6924" max="6933" width="9.42578125" style="47" customWidth="1"/>
    <col min="6934" max="7168" width="8.85546875" style="47"/>
    <col min="7169" max="7169" width="27.7109375" style="47" customWidth="1"/>
    <col min="7170" max="7170" width="11.7109375" style="47" customWidth="1"/>
    <col min="7171" max="7179" width="9.28515625" style="47" customWidth="1"/>
    <col min="7180" max="7189" width="9.42578125" style="47" customWidth="1"/>
    <col min="7190" max="7424" width="8.85546875" style="47"/>
    <col min="7425" max="7425" width="27.7109375" style="47" customWidth="1"/>
    <col min="7426" max="7426" width="11.7109375" style="47" customWidth="1"/>
    <col min="7427" max="7435" width="9.28515625" style="47" customWidth="1"/>
    <col min="7436" max="7445" width="9.42578125" style="47" customWidth="1"/>
    <col min="7446" max="7680" width="8.85546875" style="47"/>
    <col min="7681" max="7681" width="27.7109375" style="47" customWidth="1"/>
    <col min="7682" max="7682" width="11.7109375" style="47" customWidth="1"/>
    <col min="7683" max="7691" width="9.28515625" style="47" customWidth="1"/>
    <col min="7692" max="7701" width="9.42578125" style="47" customWidth="1"/>
    <col min="7702" max="7936" width="8.85546875" style="47"/>
    <col min="7937" max="7937" width="27.7109375" style="47" customWidth="1"/>
    <col min="7938" max="7938" width="11.7109375" style="47" customWidth="1"/>
    <col min="7939" max="7947" width="9.28515625" style="47" customWidth="1"/>
    <col min="7948" max="7957" width="9.42578125" style="47" customWidth="1"/>
    <col min="7958" max="8192" width="8.85546875" style="47"/>
    <col min="8193" max="8193" width="27.7109375" style="47" customWidth="1"/>
    <col min="8194" max="8194" width="11.7109375" style="47" customWidth="1"/>
    <col min="8195" max="8203" width="9.28515625" style="47" customWidth="1"/>
    <col min="8204" max="8213" width="9.42578125" style="47" customWidth="1"/>
    <col min="8214" max="8448" width="8.85546875" style="47"/>
    <col min="8449" max="8449" width="27.7109375" style="47" customWidth="1"/>
    <col min="8450" max="8450" width="11.7109375" style="47" customWidth="1"/>
    <col min="8451" max="8459" width="9.28515625" style="47" customWidth="1"/>
    <col min="8460" max="8469" width="9.42578125" style="47" customWidth="1"/>
    <col min="8470" max="8704" width="8.85546875" style="47"/>
    <col min="8705" max="8705" width="27.7109375" style="47" customWidth="1"/>
    <col min="8706" max="8706" width="11.7109375" style="47" customWidth="1"/>
    <col min="8707" max="8715" width="9.28515625" style="47" customWidth="1"/>
    <col min="8716" max="8725" width="9.42578125" style="47" customWidth="1"/>
    <col min="8726" max="8960" width="8.85546875" style="47"/>
    <col min="8961" max="8961" width="27.7109375" style="47" customWidth="1"/>
    <col min="8962" max="8962" width="11.7109375" style="47" customWidth="1"/>
    <col min="8963" max="8971" width="9.28515625" style="47" customWidth="1"/>
    <col min="8972" max="8981" width="9.42578125" style="47" customWidth="1"/>
    <col min="8982" max="9216" width="8.85546875" style="47"/>
    <col min="9217" max="9217" width="27.7109375" style="47" customWidth="1"/>
    <col min="9218" max="9218" width="11.7109375" style="47" customWidth="1"/>
    <col min="9219" max="9227" width="9.28515625" style="47" customWidth="1"/>
    <col min="9228" max="9237" width="9.42578125" style="47" customWidth="1"/>
    <col min="9238" max="9472" width="8.85546875" style="47"/>
    <col min="9473" max="9473" width="27.7109375" style="47" customWidth="1"/>
    <col min="9474" max="9474" width="11.7109375" style="47" customWidth="1"/>
    <col min="9475" max="9483" width="9.28515625" style="47" customWidth="1"/>
    <col min="9484" max="9493" width="9.42578125" style="47" customWidth="1"/>
    <col min="9494" max="9728" width="8.85546875" style="47"/>
    <col min="9729" max="9729" width="27.7109375" style="47" customWidth="1"/>
    <col min="9730" max="9730" width="11.7109375" style="47" customWidth="1"/>
    <col min="9731" max="9739" width="9.28515625" style="47" customWidth="1"/>
    <col min="9740" max="9749" width="9.42578125" style="47" customWidth="1"/>
    <col min="9750" max="9984" width="8.85546875" style="47"/>
    <col min="9985" max="9985" width="27.7109375" style="47" customWidth="1"/>
    <col min="9986" max="9986" width="11.7109375" style="47" customWidth="1"/>
    <col min="9987" max="9995" width="9.28515625" style="47" customWidth="1"/>
    <col min="9996" max="10005" width="9.42578125" style="47" customWidth="1"/>
    <col min="10006" max="10240" width="8.85546875" style="47"/>
    <col min="10241" max="10241" width="27.7109375" style="47" customWidth="1"/>
    <col min="10242" max="10242" width="11.7109375" style="47" customWidth="1"/>
    <col min="10243" max="10251" width="9.28515625" style="47" customWidth="1"/>
    <col min="10252" max="10261" width="9.42578125" style="47" customWidth="1"/>
    <col min="10262" max="10496" width="8.85546875" style="47"/>
    <col min="10497" max="10497" width="27.7109375" style="47" customWidth="1"/>
    <col min="10498" max="10498" width="11.7109375" style="47" customWidth="1"/>
    <col min="10499" max="10507" width="9.28515625" style="47" customWidth="1"/>
    <col min="10508" max="10517" width="9.42578125" style="47" customWidth="1"/>
    <col min="10518" max="10752" width="8.85546875" style="47"/>
    <col min="10753" max="10753" width="27.7109375" style="47" customWidth="1"/>
    <col min="10754" max="10754" width="11.7109375" style="47" customWidth="1"/>
    <col min="10755" max="10763" width="9.28515625" style="47" customWidth="1"/>
    <col min="10764" max="10773" width="9.42578125" style="47" customWidth="1"/>
    <col min="10774" max="11008" width="8.85546875" style="47"/>
    <col min="11009" max="11009" width="27.7109375" style="47" customWidth="1"/>
    <col min="11010" max="11010" width="11.7109375" style="47" customWidth="1"/>
    <col min="11011" max="11019" width="9.28515625" style="47" customWidth="1"/>
    <col min="11020" max="11029" width="9.42578125" style="47" customWidth="1"/>
    <col min="11030" max="11264" width="8.85546875" style="47"/>
    <col min="11265" max="11265" width="27.7109375" style="47" customWidth="1"/>
    <col min="11266" max="11266" width="11.7109375" style="47" customWidth="1"/>
    <col min="11267" max="11275" width="9.28515625" style="47" customWidth="1"/>
    <col min="11276" max="11285" width="9.42578125" style="47" customWidth="1"/>
    <col min="11286" max="11520" width="8.85546875" style="47"/>
    <col min="11521" max="11521" width="27.7109375" style="47" customWidth="1"/>
    <col min="11522" max="11522" width="11.7109375" style="47" customWidth="1"/>
    <col min="11523" max="11531" width="9.28515625" style="47" customWidth="1"/>
    <col min="11532" max="11541" width="9.42578125" style="47" customWidth="1"/>
    <col min="11542" max="11776" width="8.85546875" style="47"/>
    <col min="11777" max="11777" width="27.7109375" style="47" customWidth="1"/>
    <col min="11778" max="11778" width="11.7109375" style="47" customWidth="1"/>
    <col min="11779" max="11787" width="9.28515625" style="47" customWidth="1"/>
    <col min="11788" max="11797" width="9.42578125" style="47" customWidth="1"/>
    <col min="11798" max="12032" width="8.85546875" style="47"/>
    <col min="12033" max="12033" width="27.7109375" style="47" customWidth="1"/>
    <col min="12034" max="12034" width="11.7109375" style="47" customWidth="1"/>
    <col min="12035" max="12043" width="9.28515625" style="47" customWidth="1"/>
    <col min="12044" max="12053" width="9.42578125" style="47" customWidth="1"/>
    <col min="12054" max="12288" width="8.85546875" style="47"/>
    <col min="12289" max="12289" width="27.7109375" style="47" customWidth="1"/>
    <col min="12290" max="12290" width="11.7109375" style="47" customWidth="1"/>
    <col min="12291" max="12299" width="9.28515625" style="47" customWidth="1"/>
    <col min="12300" max="12309" width="9.42578125" style="47" customWidth="1"/>
    <col min="12310" max="12544" width="8.85546875" style="47"/>
    <col min="12545" max="12545" width="27.7109375" style="47" customWidth="1"/>
    <col min="12546" max="12546" width="11.7109375" style="47" customWidth="1"/>
    <col min="12547" max="12555" width="9.28515625" style="47" customWidth="1"/>
    <col min="12556" max="12565" width="9.42578125" style="47" customWidth="1"/>
    <col min="12566" max="12800" width="8.85546875" style="47"/>
    <col min="12801" max="12801" width="27.7109375" style="47" customWidth="1"/>
    <col min="12802" max="12802" width="11.7109375" style="47" customWidth="1"/>
    <col min="12803" max="12811" width="9.28515625" style="47" customWidth="1"/>
    <col min="12812" max="12821" width="9.42578125" style="47" customWidth="1"/>
    <col min="12822" max="13056" width="8.85546875" style="47"/>
    <col min="13057" max="13057" width="27.7109375" style="47" customWidth="1"/>
    <col min="13058" max="13058" width="11.7109375" style="47" customWidth="1"/>
    <col min="13059" max="13067" width="9.28515625" style="47" customWidth="1"/>
    <col min="13068" max="13077" width="9.42578125" style="47" customWidth="1"/>
    <col min="13078" max="13312" width="8.85546875" style="47"/>
    <col min="13313" max="13313" width="27.7109375" style="47" customWidth="1"/>
    <col min="13314" max="13314" width="11.7109375" style="47" customWidth="1"/>
    <col min="13315" max="13323" width="9.28515625" style="47" customWidth="1"/>
    <col min="13324" max="13333" width="9.42578125" style="47" customWidth="1"/>
    <col min="13334" max="13568" width="8.85546875" style="47"/>
    <col min="13569" max="13569" width="27.7109375" style="47" customWidth="1"/>
    <col min="13570" max="13570" width="11.7109375" style="47" customWidth="1"/>
    <col min="13571" max="13579" width="9.28515625" style="47" customWidth="1"/>
    <col min="13580" max="13589" width="9.42578125" style="47" customWidth="1"/>
    <col min="13590" max="13824" width="8.85546875" style="47"/>
    <col min="13825" max="13825" width="27.7109375" style="47" customWidth="1"/>
    <col min="13826" max="13826" width="11.7109375" style="47" customWidth="1"/>
    <col min="13827" max="13835" width="9.28515625" style="47" customWidth="1"/>
    <col min="13836" max="13845" width="9.42578125" style="47" customWidth="1"/>
    <col min="13846" max="14080" width="8.85546875" style="47"/>
    <col min="14081" max="14081" width="27.7109375" style="47" customWidth="1"/>
    <col min="14082" max="14082" width="11.7109375" style="47" customWidth="1"/>
    <col min="14083" max="14091" width="9.28515625" style="47" customWidth="1"/>
    <col min="14092" max="14101" width="9.42578125" style="47" customWidth="1"/>
    <col min="14102" max="14336" width="8.85546875" style="47"/>
    <col min="14337" max="14337" width="27.7109375" style="47" customWidth="1"/>
    <col min="14338" max="14338" width="11.7109375" style="47" customWidth="1"/>
    <col min="14339" max="14347" width="9.28515625" style="47" customWidth="1"/>
    <col min="14348" max="14357" width="9.42578125" style="47" customWidth="1"/>
    <col min="14358" max="14592" width="8.85546875" style="47"/>
    <col min="14593" max="14593" width="27.7109375" style="47" customWidth="1"/>
    <col min="14594" max="14594" width="11.7109375" style="47" customWidth="1"/>
    <col min="14595" max="14603" width="9.28515625" style="47" customWidth="1"/>
    <col min="14604" max="14613" width="9.42578125" style="47" customWidth="1"/>
    <col min="14614" max="14848" width="8.85546875" style="47"/>
    <col min="14849" max="14849" width="27.7109375" style="47" customWidth="1"/>
    <col min="14850" max="14850" width="11.7109375" style="47" customWidth="1"/>
    <col min="14851" max="14859" width="9.28515625" style="47" customWidth="1"/>
    <col min="14860" max="14869" width="9.42578125" style="47" customWidth="1"/>
    <col min="14870" max="15104" width="8.85546875" style="47"/>
    <col min="15105" max="15105" width="27.7109375" style="47" customWidth="1"/>
    <col min="15106" max="15106" width="11.7109375" style="47" customWidth="1"/>
    <col min="15107" max="15115" width="9.28515625" style="47" customWidth="1"/>
    <col min="15116" max="15125" width="9.42578125" style="47" customWidth="1"/>
    <col min="15126" max="15360" width="8.85546875" style="47"/>
    <col min="15361" max="15361" width="27.7109375" style="47" customWidth="1"/>
    <col min="15362" max="15362" width="11.7109375" style="47" customWidth="1"/>
    <col min="15363" max="15371" width="9.28515625" style="47" customWidth="1"/>
    <col min="15372" max="15381" width="9.42578125" style="47" customWidth="1"/>
    <col min="15382" max="15616" width="8.85546875" style="47"/>
    <col min="15617" max="15617" width="27.7109375" style="47" customWidth="1"/>
    <col min="15618" max="15618" width="11.7109375" style="47" customWidth="1"/>
    <col min="15619" max="15627" width="9.28515625" style="47" customWidth="1"/>
    <col min="15628" max="15637" width="9.42578125" style="47" customWidth="1"/>
    <col min="15638" max="15872" width="8.85546875" style="47"/>
    <col min="15873" max="15873" width="27.7109375" style="47" customWidth="1"/>
    <col min="15874" max="15874" width="11.7109375" style="47" customWidth="1"/>
    <col min="15875" max="15883" width="9.28515625" style="47" customWidth="1"/>
    <col min="15884" max="15893" width="9.42578125" style="47" customWidth="1"/>
    <col min="15894" max="16128" width="8.85546875" style="47"/>
    <col min="16129" max="16129" width="27.7109375" style="47" customWidth="1"/>
    <col min="16130" max="16130" width="11.7109375" style="47" customWidth="1"/>
    <col min="16131" max="16139" width="9.28515625" style="47" customWidth="1"/>
    <col min="16140" max="16149" width="9.42578125" style="47" customWidth="1"/>
    <col min="16150" max="16384" width="8.85546875" style="47"/>
  </cols>
  <sheetData>
    <row r="5" spans="1:253" s="49" customFormat="1" ht="15.7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143" t="s">
        <v>1</v>
      </c>
      <c r="M5" s="143"/>
      <c r="N5" s="143"/>
      <c r="O5" s="143"/>
      <c r="P5" s="143"/>
      <c r="Q5" s="143"/>
      <c r="R5" s="143"/>
      <c r="S5" s="143"/>
      <c r="T5" s="143"/>
      <c r="U5" s="14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</row>
    <row r="6" spans="1:253" ht="32.25">
      <c r="A6" s="36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  <c r="J6" s="27" t="s">
        <v>11</v>
      </c>
      <c r="K6" s="27" t="s">
        <v>12</v>
      </c>
      <c r="L6" s="54">
        <v>2017</v>
      </c>
      <c r="M6" s="54">
        <v>2018</v>
      </c>
      <c r="N6" s="54">
        <v>2019</v>
      </c>
      <c r="O6" s="54">
        <v>2020</v>
      </c>
      <c r="P6" s="54">
        <v>2021</v>
      </c>
      <c r="Q6" s="54">
        <v>2022</v>
      </c>
      <c r="R6" s="54">
        <v>2023</v>
      </c>
      <c r="S6" s="54">
        <v>2024</v>
      </c>
      <c r="T6" s="54">
        <v>2025</v>
      </c>
      <c r="U6" s="54">
        <v>2026</v>
      </c>
    </row>
    <row r="7" spans="1:253">
      <c r="A7" s="37" t="s">
        <v>13</v>
      </c>
      <c r="B7" s="38" t="s">
        <v>14</v>
      </c>
      <c r="C7" s="38" t="s">
        <v>14</v>
      </c>
      <c r="D7" s="38" t="s">
        <v>14</v>
      </c>
      <c r="E7" s="38" t="s">
        <v>14</v>
      </c>
      <c r="F7" s="38" t="s">
        <v>14</v>
      </c>
      <c r="G7" s="38" t="s">
        <v>14</v>
      </c>
      <c r="H7" s="38" t="s">
        <v>14</v>
      </c>
      <c r="I7" s="38" t="s">
        <v>14</v>
      </c>
      <c r="J7" s="38" t="s">
        <v>14</v>
      </c>
      <c r="K7" s="38" t="s">
        <v>14</v>
      </c>
      <c r="L7" s="74"/>
      <c r="M7" s="74"/>
      <c r="N7" s="74"/>
      <c r="O7" s="74"/>
      <c r="P7" s="74"/>
      <c r="Q7" s="74"/>
      <c r="R7" s="74"/>
      <c r="S7" s="74"/>
      <c r="T7" s="74"/>
      <c r="U7" s="74"/>
    </row>
    <row r="8" spans="1:253">
      <c r="A8" s="41" t="s">
        <v>15</v>
      </c>
      <c r="B8" s="42">
        <v>4555.2</v>
      </c>
      <c r="C8" s="42">
        <v>4921.5</v>
      </c>
      <c r="D8" s="42">
        <v>4280</v>
      </c>
      <c r="E8" s="42">
        <v>4853</v>
      </c>
      <c r="F8" s="42">
        <v>5052</v>
      </c>
      <c r="G8" s="42">
        <v>5550</v>
      </c>
      <c r="H8" s="42">
        <v>5982</v>
      </c>
      <c r="I8" s="42">
        <v>6464</v>
      </c>
      <c r="J8" s="42">
        <v>6552</v>
      </c>
      <c r="K8" s="42">
        <v>6060</v>
      </c>
      <c r="L8" s="74"/>
      <c r="M8" s="74"/>
      <c r="N8" s="74"/>
      <c r="O8" s="74"/>
      <c r="P8" s="74"/>
      <c r="Q8" s="74"/>
      <c r="R8" s="74"/>
      <c r="S8" s="74"/>
      <c r="T8" s="74"/>
      <c r="U8" s="74"/>
    </row>
    <row r="9" spans="1:253">
      <c r="A9" s="41" t="s">
        <v>16</v>
      </c>
      <c r="B9" s="42">
        <v>152.4</v>
      </c>
      <c r="C9" s="42">
        <v>127</v>
      </c>
      <c r="D9" s="42">
        <v>122</v>
      </c>
      <c r="E9" s="42">
        <v>128</v>
      </c>
      <c r="F9" s="42">
        <v>125</v>
      </c>
      <c r="G9" s="42">
        <v>145</v>
      </c>
      <c r="H9" s="42">
        <v>151</v>
      </c>
      <c r="I9" s="42">
        <v>156</v>
      </c>
      <c r="J9" s="42">
        <v>160</v>
      </c>
      <c r="K9" s="42">
        <v>172</v>
      </c>
      <c r="L9" s="74"/>
      <c r="M9" s="74"/>
      <c r="N9" s="74"/>
      <c r="O9" s="74"/>
      <c r="P9" s="74"/>
      <c r="Q9" s="74"/>
      <c r="R9" s="74"/>
      <c r="S9" s="74"/>
      <c r="T9" s="74"/>
      <c r="U9" s="74"/>
    </row>
    <row r="10" spans="1:253">
      <c r="A10" s="39" t="s">
        <v>17</v>
      </c>
      <c r="B10" s="43">
        <v>4707.6000000000004</v>
      </c>
      <c r="C10" s="43">
        <v>5048.5</v>
      </c>
      <c r="D10" s="43">
        <v>4402</v>
      </c>
      <c r="E10" s="43">
        <v>4981</v>
      </c>
      <c r="F10" s="43">
        <v>5177</v>
      </c>
      <c r="G10" s="43">
        <v>5695</v>
      </c>
      <c r="H10" s="43">
        <v>6133</v>
      </c>
      <c r="I10" s="43">
        <v>6620</v>
      </c>
      <c r="J10" s="43">
        <v>6712</v>
      </c>
      <c r="K10" s="43">
        <v>6232</v>
      </c>
      <c r="L10" s="75">
        <f>K10*(1+$B$53)</f>
        <v>6591.6330524971527</v>
      </c>
      <c r="M10" s="75">
        <f t="shared" ref="M10:T10" si="0">L10*(1+$B$53)</f>
        <v>6972.019624321716</v>
      </c>
      <c r="N10" s="75">
        <f t="shared" si="0"/>
        <v>7374.3573488988777</v>
      </c>
      <c r="O10" s="75">
        <f t="shared" si="0"/>
        <v>7799.9129720678948</v>
      </c>
      <c r="P10" s="75">
        <f t="shared" si="0"/>
        <v>8250.0263403857571</v>
      </c>
      <c r="Q10" s="75">
        <f t="shared" si="0"/>
        <v>8726.1146195858291</v>
      </c>
      <c r="R10" s="75">
        <f t="shared" si="0"/>
        <v>9229.6767564731344</v>
      </c>
      <c r="S10" s="75">
        <f t="shared" si="0"/>
        <v>9762.298198304401</v>
      </c>
      <c r="T10" s="75">
        <f t="shared" si="0"/>
        <v>10325.655884511665</v>
      </c>
      <c r="U10" s="75">
        <f>T10*(1+$B$53)</f>
        <v>10921.523526485689</v>
      </c>
    </row>
    <row r="11" spans="1:253">
      <c r="A11" s="41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53">
      <c r="A12" s="41" t="s">
        <v>18</v>
      </c>
      <c r="B12" s="42">
        <v>3119.3</v>
      </c>
      <c r="C12" s="42">
        <v>3581.3</v>
      </c>
      <c r="D12" s="42">
        <v>3113</v>
      </c>
      <c r="E12" s="42">
        <v>3376</v>
      </c>
      <c r="F12" s="42">
        <v>3720</v>
      </c>
      <c r="G12" s="42">
        <v>3849</v>
      </c>
      <c r="H12" s="42">
        <v>3620</v>
      </c>
      <c r="I12" s="42">
        <v>3639</v>
      </c>
      <c r="J12" s="42">
        <v>3425</v>
      </c>
      <c r="K12" s="42">
        <v>2898</v>
      </c>
      <c r="L12" s="77">
        <f>L10*$B$54</f>
        <v>3679.5849885860443</v>
      </c>
      <c r="M12" s="77">
        <f t="shared" ref="M12:U12" si="1">M10*$B$54</f>
        <v>3891.9245876502132</v>
      </c>
      <c r="N12" s="77">
        <f t="shared" si="1"/>
        <v>4116.5177711459401</v>
      </c>
      <c r="O12" s="77">
        <f t="shared" si="1"/>
        <v>4354.0716626247577</v>
      </c>
      <c r="P12" s="77">
        <f t="shared" si="1"/>
        <v>4605.33419196062</v>
      </c>
      <c r="Q12" s="77">
        <f t="shared" si="1"/>
        <v>4871.0964501801818</v>
      </c>
      <c r="R12" s="77">
        <f t="shared" si="1"/>
        <v>5152.1951801844098</v>
      </c>
      <c r="S12" s="77">
        <f t="shared" si="1"/>
        <v>5449.5154112034779</v>
      </c>
      <c r="T12" s="77">
        <f t="shared" si="1"/>
        <v>5763.9932452794392</v>
      </c>
      <c r="U12" s="77">
        <f t="shared" si="1"/>
        <v>6096.6188045497875</v>
      </c>
    </row>
    <row r="13" spans="1:253">
      <c r="A13" s="39" t="s">
        <v>19</v>
      </c>
      <c r="B13" s="43">
        <v>1588.3</v>
      </c>
      <c r="C13" s="43">
        <v>1467.2</v>
      </c>
      <c r="D13" s="43">
        <v>1289</v>
      </c>
      <c r="E13" s="43">
        <v>1605</v>
      </c>
      <c r="F13" s="43">
        <v>1457</v>
      </c>
      <c r="G13" s="43">
        <v>1846</v>
      </c>
      <c r="H13" s="43">
        <v>2513</v>
      </c>
      <c r="I13" s="43">
        <v>2981</v>
      </c>
      <c r="J13" s="43">
        <v>3287</v>
      </c>
      <c r="K13" s="43">
        <v>3334</v>
      </c>
      <c r="L13" s="75">
        <f>L10-L12</f>
        <v>2912.0480639111083</v>
      </c>
      <c r="M13" s="75">
        <f t="shared" ref="M13:U13" si="2">M10-M12</f>
        <v>3080.0950366715028</v>
      </c>
      <c r="N13" s="75">
        <f t="shared" si="2"/>
        <v>3257.8395777529377</v>
      </c>
      <c r="O13" s="75">
        <f t="shared" si="2"/>
        <v>3445.8413094431371</v>
      </c>
      <c r="P13" s="75">
        <f t="shared" si="2"/>
        <v>3644.692148425137</v>
      </c>
      <c r="Q13" s="75">
        <f t="shared" si="2"/>
        <v>3855.0181694056473</v>
      </c>
      <c r="R13" s="75">
        <f t="shared" si="2"/>
        <v>4077.4815762887247</v>
      </c>
      <c r="S13" s="75">
        <f t="shared" si="2"/>
        <v>4312.7827871009231</v>
      </c>
      <c r="T13" s="75">
        <f t="shared" si="2"/>
        <v>4561.662639232226</v>
      </c>
      <c r="U13" s="75">
        <f t="shared" si="2"/>
        <v>4824.9047219359018</v>
      </c>
    </row>
    <row r="14" spans="1:253">
      <c r="A14" s="41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1:253">
      <c r="A15" s="41" t="s">
        <v>20</v>
      </c>
      <c r="B15" s="42" t="s">
        <v>21</v>
      </c>
      <c r="C15" s="42" t="s">
        <v>21</v>
      </c>
      <c r="D15" s="42" t="s">
        <v>21</v>
      </c>
      <c r="E15" s="42" t="s">
        <v>21</v>
      </c>
      <c r="F15" s="42" t="s">
        <v>21</v>
      </c>
      <c r="G15" s="42" t="s">
        <v>21</v>
      </c>
      <c r="H15" s="42" t="s">
        <v>21</v>
      </c>
      <c r="I15" s="42" t="s">
        <v>21</v>
      </c>
      <c r="J15" s="42" t="s">
        <v>21</v>
      </c>
      <c r="K15" s="42" t="s">
        <v>21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0</v>
      </c>
    </row>
    <row r="16" spans="1:253">
      <c r="A16" s="41" t="s">
        <v>22</v>
      </c>
      <c r="B16" s="42" t="s">
        <v>21</v>
      </c>
      <c r="C16" s="42" t="s">
        <v>21</v>
      </c>
      <c r="D16" s="42" t="s">
        <v>21</v>
      </c>
      <c r="E16" s="42" t="s">
        <v>21</v>
      </c>
      <c r="F16" s="42" t="s">
        <v>21</v>
      </c>
      <c r="G16" s="42" t="s">
        <v>21</v>
      </c>
      <c r="H16" s="42" t="s">
        <v>21</v>
      </c>
      <c r="I16" s="42" t="s">
        <v>21</v>
      </c>
      <c r="J16" s="42" t="s">
        <v>21</v>
      </c>
      <c r="K16" s="42" t="s">
        <v>21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1:21">
      <c r="A17" s="41" t="s">
        <v>23</v>
      </c>
      <c r="B17" s="42">
        <v>427.5</v>
      </c>
      <c r="C17" s="42">
        <v>428.2</v>
      </c>
      <c r="D17" s="42">
        <v>483</v>
      </c>
      <c r="E17" s="42">
        <v>489</v>
      </c>
      <c r="F17" s="42">
        <v>490</v>
      </c>
      <c r="G17" s="42">
        <v>539</v>
      </c>
      <c r="H17" s="42">
        <v>565</v>
      </c>
      <c r="I17" s="42">
        <v>552</v>
      </c>
      <c r="J17" s="42">
        <v>595</v>
      </c>
      <c r="K17" s="42">
        <v>640</v>
      </c>
      <c r="L17" s="77">
        <f ca="1">'Balance Sheet'!L25*'Income Statement'!$B$56</f>
        <v>687.0907833051873</v>
      </c>
      <c r="M17" s="77">
        <f ca="1">'Balance Sheet'!M25*'Income Statement'!$B$56</f>
        <v>718.94620109908112</v>
      </c>
      <c r="N17" s="77">
        <f ca="1">'Balance Sheet'!N25*'Income Statement'!$B$56</f>
        <v>753.09638158602252</v>
      </c>
      <c r="O17" s="77">
        <f ca="1">'Balance Sheet'!O25*'Income Statement'!$B$56</f>
        <v>789.66619178811357</v>
      </c>
      <c r="P17" s="77">
        <f ca="1">'Balance Sheet'!P25*'Income Statement'!$B$56</f>
        <v>828.78858019653535</v>
      </c>
      <c r="Q17" s="77">
        <f ca="1">'Balance Sheet'!Q25*'Income Statement'!$B$56</f>
        <v>870.60504558863465</v>
      </c>
      <c r="R17" s="77">
        <f ca="1">'Balance Sheet'!R25*'Income Statement'!$B$56</f>
        <v>915.26613496228867</v>
      </c>
      <c r="S17" s="77">
        <f ca="1">'Balance Sheet'!S25*'Income Statement'!$B$56</f>
        <v>962.93197232006469</v>
      </c>
      <c r="T17" s="77">
        <f ca="1">'Balance Sheet'!T25*'Income Statement'!$B$56</f>
        <v>1013.7728201415836</v>
      </c>
      <c r="U17" s="77">
        <f ca="1">'Balance Sheet'!U25*'Income Statement'!$B$56</f>
        <v>1067.969675494749</v>
      </c>
    </row>
    <row r="18" spans="1:21">
      <c r="A18" s="41" t="s">
        <v>24</v>
      </c>
      <c r="B18" s="42" t="s">
        <v>21</v>
      </c>
      <c r="C18" s="42" t="s">
        <v>21</v>
      </c>
      <c r="D18" s="42" t="s">
        <v>21</v>
      </c>
      <c r="E18" s="42" t="s">
        <v>21</v>
      </c>
      <c r="F18" s="42" t="s">
        <v>21</v>
      </c>
      <c r="G18" s="42" t="s">
        <v>21</v>
      </c>
      <c r="H18" s="42">
        <v>91</v>
      </c>
      <c r="I18" s="42">
        <v>94</v>
      </c>
      <c r="J18" s="42">
        <v>103</v>
      </c>
      <c r="K18" s="42">
        <v>116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1:21">
      <c r="A19" s="41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1:21">
      <c r="A20" s="39" t="s">
        <v>25</v>
      </c>
      <c r="B20" s="43">
        <v>427.5</v>
      </c>
      <c r="C20" s="43">
        <v>428.2</v>
      </c>
      <c r="D20" s="43">
        <v>483</v>
      </c>
      <c r="E20" s="43">
        <v>489</v>
      </c>
      <c r="F20" s="43">
        <v>490</v>
      </c>
      <c r="G20" s="43">
        <v>539</v>
      </c>
      <c r="H20" s="43">
        <v>656</v>
      </c>
      <c r="I20" s="43">
        <v>646</v>
      </c>
      <c r="J20" s="43">
        <v>698</v>
      </c>
      <c r="K20" s="43">
        <v>756</v>
      </c>
      <c r="L20" s="75">
        <f ca="1">L17+L18</f>
        <v>687.0907833051873</v>
      </c>
      <c r="M20" s="75">
        <f t="shared" ref="M20:U20" ca="1" si="3">M17+M18</f>
        <v>718.94620109908112</v>
      </c>
      <c r="N20" s="75">
        <f t="shared" ca="1" si="3"/>
        <v>753.09638158602252</v>
      </c>
      <c r="O20" s="75">
        <f t="shared" ca="1" si="3"/>
        <v>789.66619178811357</v>
      </c>
      <c r="P20" s="75">
        <f t="shared" ca="1" si="3"/>
        <v>828.78858019653535</v>
      </c>
      <c r="Q20" s="75">
        <f t="shared" ca="1" si="3"/>
        <v>870.60504558863465</v>
      </c>
      <c r="R20" s="75">
        <f t="shared" ca="1" si="3"/>
        <v>915.26613496228867</v>
      </c>
      <c r="S20" s="75">
        <f t="shared" ca="1" si="3"/>
        <v>962.93197232006469</v>
      </c>
      <c r="T20" s="75">
        <f t="shared" ca="1" si="3"/>
        <v>1013.7728201415836</v>
      </c>
      <c r="U20" s="75">
        <f t="shared" ca="1" si="3"/>
        <v>1067.969675494749</v>
      </c>
    </row>
    <row r="21" spans="1:21">
      <c r="A21" s="41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1:21">
      <c r="A22" s="39" t="s">
        <v>26</v>
      </c>
      <c r="B22" s="44">
        <v>1160.8</v>
      </c>
      <c r="C22" s="44">
        <v>1039</v>
      </c>
      <c r="D22" s="44">
        <v>806</v>
      </c>
      <c r="E22" s="44">
        <v>1116</v>
      </c>
      <c r="F22" s="44">
        <v>967</v>
      </c>
      <c r="G22" s="44">
        <v>1307</v>
      </c>
      <c r="H22" s="44">
        <v>1857</v>
      </c>
      <c r="I22" s="44">
        <v>2335</v>
      </c>
      <c r="J22" s="44">
        <v>2589</v>
      </c>
      <c r="K22" s="44">
        <v>2578</v>
      </c>
      <c r="L22" s="78">
        <f ca="1">L13-L20</f>
        <v>2224.9572806059209</v>
      </c>
      <c r="M22" s="78">
        <f t="shared" ref="M22:U22" ca="1" si="4">M13-M20</f>
        <v>2361.1488355724218</v>
      </c>
      <c r="N22" s="78">
        <f t="shared" ca="1" si="4"/>
        <v>2504.7431961669154</v>
      </c>
      <c r="O22" s="78">
        <f t="shared" ca="1" si="4"/>
        <v>2656.1751176550233</v>
      </c>
      <c r="P22" s="78">
        <f t="shared" ca="1" si="4"/>
        <v>2815.9035682286017</v>
      </c>
      <c r="Q22" s="78">
        <f t="shared" ca="1" si="4"/>
        <v>2984.4131238170125</v>
      </c>
      <c r="R22" s="78">
        <f t="shared" ca="1" si="4"/>
        <v>3162.2154413264361</v>
      </c>
      <c r="S22" s="78">
        <f t="shared" ca="1" si="4"/>
        <v>3349.8508147808584</v>
      </c>
      <c r="T22" s="78">
        <f t="shared" ca="1" si="4"/>
        <v>3547.8898190906425</v>
      </c>
      <c r="U22" s="78">
        <f t="shared" ca="1" si="4"/>
        <v>3756.9350464411527</v>
      </c>
    </row>
    <row r="23" spans="1:21">
      <c r="A23" s="41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1:21">
      <c r="A24" s="41" t="s">
        <v>27</v>
      </c>
      <c r="B24" s="42">
        <v>-219.6</v>
      </c>
      <c r="C24" s="42">
        <v>-260.39999999999998</v>
      </c>
      <c r="D24" s="42">
        <v>-286</v>
      </c>
      <c r="E24" s="42">
        <v>-268</v>
      </c>
      <c r="F24" s="42">
        <v>-255</v>
      </c>
      <c r="G24" s="42">
        <v>-279</v>
      </c>
      <c r="H24" s="42">
        <v>-283</v>
      </c>
      <c r="I24" s="42">
        <v>-286</v>
      </c>
      <c r="J24" s="42">
        <v>-395</v>
      </c>
      <c r="K24" s="42">
        <v>-472</v>
      </c>
      <c r="L24" s="77">
        <f>('Balance Sheet'!L37+'Balance Sheet'!L38+'Balance Sheet'!L44)*'Income Statement'!$B$58</f>
        <v>-457.15665438597352</v>
      </c>
      <c r="M24" s="77">
        <f>('Balance Sheet'!M37+'Balance Sheet'!M38+'Balance Sheet'!M44)*'Income Statement'!$B$58</f>
        <v>-457.15665438597352</v>
      </c>
      <c r="N24" s="77">
        <f>('Balance Sheet'!N37+'Balance Sheet'!N38+'Balance Sheet'!N44)*'Income Statement'!$B$58</f>
        <v>-457.15665438597352</v>
      </c>
      <c r="O24" s="77">
        <f>('Balance Sheet'!O37+'Balance Sheet'!O38+'Balance Sheet'!O44)*'Income Statement'!$B$58</f>
        <v>-457.15665438597352</v>
      </c>
      <c r="P24" s="77">
        <f>('Balance Sheet'!P37+'Balance Sheet'!P38+'Balance Sheet'!P44)*'Income Statement'!$B$58</f>
        <v>-457.15665438597352</v>
      </c>
      <c r="Q24" s="77">
        <f>('Balance Sheet'!Q37+'Balance Sheet'!Q38+'Balance Sheet'!Q44)*'Income Statement'!$B$58</f>
        <v>-457.15665438597352</v>
      </c>
      <c r="R24" s="77">
        <f>('Balance Sheet'!R37+'Balance Sheet'!R38+'Balance Sheet'!R44)*'Income Statement'!$B$58</f>
        <v>-457.15665438597352</v>
      </c>
      <c r="S24" s="77">
        <f>('Balance Sheet'!S37+'Balance Sheet'!S38+'Balance Sheet'!S44)*'Income Statement'!$B$58</f>
        <v>-457.15665438597352</v>
      </c>
      <c r="T24" s="77">
        <f>('Balance Sheet'!T37+'Balance Sheet'!T38+'Balance Sheet'!T44)*'Income Statement'!$B$58</f>
        <v>-457.15665438597352</v>
      </c>
      <c r="U24" s="77">
        <f>('Balance Sheet'!U37+'Balance Sheet'!U38+'Balance Sheet'!U44)*'Income Statement'!$B$58</f>
        <v>-457.15665438597352</v>
      </c>
    </row>
    <row r="25" spans="1:21">
      <c r="A25" s="41" t="s">
        <v>28</v>
      </c>
      <c r="B25" s="42">
        <v>15.3</v>
      </c>
      <c r="C25" s="42">
        <v>20.8</v>
      </c>
      <c r="D25" s="42">
        <v>18</v>
      </c>
      <c r="E25" s="42">
        <v>11</v>
      </c>
      <c r="F25" s="42">
        <v>3</v>
      </c>
      <c r="G25" s="42">
        <v>3</v>
      </c>
      <c r="H25" s="42">
        <v>5</v>
      </c>
      <c r="I25" s="42">
        <v>4</v>
      </c>
      <c r="J25" s="42">
        <v>1</v>
      </c>
      <c r="K25" s="42">
        <v>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1:21">
      <c r="A26" s="39" t="s">
        <v>29</v>
      </c>
      <c r="B26" s="43">
        <v>-204.3</v>
      </c>
      <c r="C26" s="43">
        <v>-239.6</v>
      </c>
      <c r="D26" s="43">
        <v>-268</v>
      </c>
      <c r="E26" s="43">
        <v>-257</v>
      </c>
      <c r="F26" s="43">
        <v>-252</v>
      </c>
      <c r="G26" s="43">
        <v>-276</v>
      </c>
      <c r="H26" s="43">
        <v>-278</v>
      </c>
      <c r="I26" s="43">
        <v>-282</v>
      </c>
      <c r="J26" s="43">
        <v>-394</v>
      </c>
      <c r="K26" s="43">
        <v>-471</v>
      </c>
      <c r="L26" s="75">
        <f>L24+L25</f>
        <v>-457.15665438597352</v>
      </c>
      <c r="M26" s="75">
        <f t="shared" ref="M26:U26" si="5">M24+M25</f>
        <v>-457.15665438597352</v>
      </c>
      <c r="N26" s="75">
        <f t="shared" si="5"/>
        <v>-457.15665438597352</v>
      </c>
      <c r="O26" s="75">
        <f t="shared" si="5"/>
        <v>-457.15665438597352</v>
      </c>
      <c r="P26" s="75">
        <f t="shared" si="5"/>
        <v>-457.15665438597352</v>
      </c>
      <c r="Q26" s="75">
        <f t="shared" si="5"/>
        <v>-457.15665438597352</v>
      </c>
      <c r="R26" s="75">
        <f t="shared" si="5"/>
        <v>-457.15665438597352</v>
      </c>
      <c r="S26" s="75">
        <f t="shared" si="5"/>
        <v>-457.15665438597352</v>
      </c>
      <c r="T26" s="75">
        <f t="shared" si="5"/>
        <v>-457.15665438597352</v>
      </c>
      <c r="U26" s="75">
        <f t="shared" si="5"/>
        <v>-457.15665438597352</v>
      </c>
    </row>
    <row r="27" spans="1:21">
      <c r="A27" s="41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1:21">
      <c r="A28" s="41" t="s">
        <v>30</v>
      </c>
      <c r="B28" s="42">
        <v>11.2</v>
      </c>
      <c r="C28" s="42">
        <v>50.9</v>
      </c>
      <c r="D28" s="42" t="s">
        <v>21</v>
      </c>
      <c r="E28" s="42" t="s">
        <v>21</v>
      </c>
      <c r="F28" s="42" t="s">
        <v>21</v>
      </c>
      <c r="G28" s="42" t="s">
        <v>21</v>
      </c>
      <c r="H28" s="42" t="s">
        <v>21</v>
      </c>
      <c r="I28" s="42" t="s">
        <v>21</v>
      </c>
      <c r="J28" s="42" t="s">
        <v>21</v>
      </c>
      <c r="K28" s="42" t="s">
        <v>21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  <c r="T28" s="77">
        <v>0</v>
      </c>
      <c r="U28" s="77">
        <v>0</v>
      </c>
    </row>
    <row r="29" spans="1:21">
      <c r="A29" s="41" t="s">
        <v>31</v>
      </c>
      <c r="B29" s="42">
        <v>169.8</v>
      </c>
      <c r="C29" s="42">
        <v>-11.9</v>
      </c>
      <c r="D29" s="42">
        <v>5</v>
      </c>
      <c r="E29" s="42">
        <v>12</v>
      </c>
      <c r="F29" s="42">
        <v>-6</v>
      </c>
      <c r="G29" s="42">
        <v>3</v>
      </c>
      <c r="H29" s="42">
        <v>-4</v>
      </c>
      <c r="I29" s="42">
        <v>-11</v>
      </c>
      <c r="J29" s="42">
        <v>-273</v>
      </c>
      <c r="K29" s="42">
        <v>84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  <c r="T29" s="77">
        <v>0</v>
      </c>
      <c r="U29" s="77">
        <v>0</v>
      </c>
    </row>
    <row r="30" spans="1:21">
      <c r="A30" s="41" t="s">
        <v>32</v>
      </c>
      <c r="B30" s="42">
        <v>-29.6</v>
      </c>
      <c r="C30" s="42">
        <v>-11</v>
      </c>
      <c r="D30" s="42">
        <v>-9</v>
      </c>
      <c r="E30" s="42">
        <v>-9</v>
      </c>
      <c r="F30" s="42">
        <v>-17</v>
      </c>
      <c r="G30" s="42">
        <v>-68</v>
      </c>
      <c r="H30" s="42">
        <v>-13</v>
      </c>
      <c r="I30" s="42">
        <v>-8</v>
      </c>
      <c r="J30" s="42">
        <v>-15</v>
      </c>
      <c r="K30" s="42">
        <v>-14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  <c r="T30" s="77">
        <v>0</v>
      </c>
      <c r="U30" s="77">
        <v>0</v>
      </c>
    </row>
    <row r="31" spans="1:21">
      <c r="A31" s="39" t="s">
        <v>33</v>
      </c>
      <c r="B31" s="43">
        <v>1107.9000000000001</v>
      </c>
      <c r="C31" s="43">
        <v>827.4</v>
      </c>
      <c r="D31" s="43">
        <v>534</v>
      </c>
      <c r="E31" s="43">
        <v>862</v>
      </c>
      <c r="F31" s="43">
        <v>692</v>
      </c>
      <c r="G31" s="43">
        <v>966</v>
      </c>
      <c r="H31" s="43">
        <v>1562</v>
      </c>
      <c r="I31" s="43">
        <v>2034</v>
      </c>
      <c r="J31" s="43">
        <v>1907</v>
      </c>
      <c r="K31" s="43">
        <v>2177</v>
      </c>
      <c r="L31" s="75">
        <f ca="1">L22+L26</f>
        <v>1767.8006262199474</v>
      </c>
      <c r="M31" s="75">
        <f t="shared" ref="M31:U31" ca="1" si="6">M22+M26</f>
        <v>1903.9921811864483</v>
      </c>
      <c r="N31" s="75">
        <f t="shared" ca="1" si="6"/>
        <v>2047.5865417809418</v>
      </c>
      <c r="O31" s="75">
        <f t="shared" ca="1" si="6"/>
        <v>2199.0184632690498</v>
      </c>
      <c r="P31" s="75">
        <f t="shared" ca="1" si="6"/>
        <v>2358.7469138426281</v>
      </c>
      <c r="Q31" s="75">
        <f t="shared" ca="1" si="6"/>
        <v>2527.256469431039</v>
      </c>
      <c r="R31" s="75">
        <f t="shared" ca="1" si="6"/>
        <v>2705.0587869404626</v>
      </c>
      <c r="S31" s="75">
        <f t="shared" ca="1" si="6"/>
        <v>2892.6941603948849</v>
      </c>
      <c r="T31" s="75">
        <f t="shared" ca="1" si="6"/>
        <v>3090.733164704669</v>
      </c>
      <c r="U31" s="75">
        <f t="shared" ca="1" si="6"/>
        <v>3299.7783920551792</v>
      </c>
    </row>
    <row r="32" spans="1:21">
      <c r="A32" s="4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1:21">
      <c r="A33" s="41" t="s">
        <v>34</v>
      </c>
      <c r="B33" s="42" t="s">
        <v>21</v>
      </c>
      <c r="C33" s="42" t="s">
        <v>21</v>
      </c>
      <c r="D33" s="42" t="s">
        <v>21</v>
      </c>
      <c r="E33" s="42" t="s">
        <v>21</v>
      </c>
      <c r="F33" s="42" t="s">
        <v>21</v>
      </c>
      <c r="G33" s="42">
        <v>-55</v>
      </c>
      <c r="H33" s="42">
        <v>-2</v>
      </c>
      <c r="I33" s="42">
        <v>4</v>
      </c>
      <c r="J33" s="42" t="s">
        <v>21</v>
      </c>
      <c r="K33" s="42" t="s">
        <v>21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  <c r="T33" s="77">
        <v>0</v>
      </c>
      <c r="U33" s="77">
        <v>0</v>
      </c>
    </row>
    <row r="34" spans="1:21">
      <c r="A34" s="41" t="s">
        <v>35</v>
      </c>
      <c r="B34" s="42" t="s">
        <v>21</v>
      </c>
      <c r="C34" s="42" t="s">
        <v>21</v>
      </c>
      <c r="D34" s="42" t="s">
        <v>21</v>
      </c>
      <c r="E34" s="42" t="s">
        <v>21</v>
      </c>
      <c r="F34" s="42" t="s">
        <v>21</v>
      </c>
      <c r="G34" s="42" t="s">
        <v>21</v>
      </c>
      <c r="H34" s="42" t="s">
        <v>21</v>
      </c>
      <c r="I34" s="42" t="s">
        <v>21</v>
      </c>
      <c r="J34" s="42" t="s">
        <v>21</v>
      </c>
      <c r="K34" s="42" t="s">
        <v>21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  <c r="T34" s="77">
        <v>0</v>
      </c>
      <c r="U34" s="77">
        <v>0</v>
      </c>
    </row>
    <row r="35" spans="1:21">
      <c r="A35" s="41" t="s">
        <v>36</v>
      </c>
      <c r="B35" s="42">
        <v>-21.5</v>
      </c>
      <c r="C35" s="42">
        <v>-49.4</v>
      </c>
      <c r="D35" s="42">
        <v>90</v>
      </c>
      <c r="E35" s="42">
        <v>9</v>
      </c>
      <c r="F35" s="42">
        <v>15</v>
      </c>
      <c r="G35" s="42">
        <v>-3</v>
      </c>
      <c r="H35" s="42" t="s">
        <v>21</v>
      </c>
      <c r="I35" s="42" t="s">
        <v>21</v>
      </c>
      <c r="J35" s="42" t="s">
        <v>21</v>
      </c>
      <c r="K35" s="42" t="s">
        <v>21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  <c r="T35" s="77">
        <v>0</v>
      </c>
      <c r="U35" s="77">
        <v>0</v>
      </c>
    </row>
    <row r="36" spans="1:21">
      <c r="A36" s="41" t="s">
        <v>37</v>
      </c>
      <c r="B36" s="42">
        <v>0</v>
      </c>
      <c r="C36" s="42" t="s">
        <v>21</v>
      </c>
      <c r="D36" s="42">
        <v>79</v>
      </c>
      <c r="E36" s="42" t="s">
        <v>21</v>
      </c>
      <c r="F36" s="42" t="s">
        <v>21</v>
      </c>
      <c r="G36" s="42">
        <v>-80</v>
      </c>
      <c r="H36" s="42">
        <v>-435</v>
      </c>
      <c r="I36" s="42" t="s">
        <v>21</v>
      </c>
      <c r="J36" s="42">
        <v>68</v>
      </c>
      <c r="K36" s="42" t="s">
        <v>21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  <c r="T36" s="77">
        <v>0</v>
      </c>
      <c r="U36" s="77">
        <v>0</v>
      </c>
    </row>
    <row r="37" spans="1:21">
      <c r="A37" s="41" t="s">
        <v>38</v>
      </c>
      <c r="B37" s="42" t="s">
        <v>21</v>
      </c>
      <c r="C37" s="42" t="s">
        <v>21</v>
      </c>
      <c r="D37" s="42" t="s">
        <v>21</v>
      </c>
      <c r="E37" s="42" t="s">
        <v>21</v>
      </c>
      <c r="F37" s="42" t="s">
        <v>21</v>
      </c>
      <c r="G37" s="42">
        <v>-154</v>
      </c>
      <c r="H37" s="42" t="s">
        <v>21</v>
      </c>
      <c r="I37" s="42" t="s">
        <v>21</v>
      </c>
      <c r="J37" s="42" t="s">
        <v>21</v>
      </c>
      <c r="K37" s="42" t="s">
        <v>21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</row>
    <row r="38" spans="1:21">
      <c r="A38" s="41" t="s">
        <v>39</v>
      </c>
      <c r="B38" s="42" t="s">
        <v>21</v>
      </c>
      <c r="C38" s="42" t="s">
        <v>21</v>
      </c>
      <c r="D38" s="42" t="s">
        <v>21</v>
      </c>
      <c r="E38" s="42" t="s">
        <v>21</v>
      </c>
      <c r="F38" s="42" t="s">
        <v>21</v>
      </c>
      <c r="G38" s="42" t="s">
        <v>21</v>
      </c>
      <c r="H38" s="42" t="s">
        <v>21</v>
      </c>
      <c r="I38" s="42" t="s">
        <v>21</v>
      </c>
      <c r="J38" s="42">
        <v>31</v>
      </c>
      <c r="K38" s="42">
        <v>-25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  <c r="T38" s="77">
        <v>0</v>
      </c>
      <c r="U38" s="77">
        <v>0</v>
      </c>
    </row>
    <row r="39" spans="1:21">
      <c r="A39" s="41" t="s">
        <v>40</v>
      </c>
      <c r="B39" s="42" t="s">
        <v>21</v>
      </c>
      <c r="C39" s="42" t="s">
        <v>21</v>
      </c>
      <c r="D39" s="42">
        <v>-72</v>
      </c>
      <c r="E39" s="42" t="s">
        <v>21</v>
      </c>
      <c r="F39" s="42">
        <v>-10</v>
      </c>
      <c r="G39" s="42">
        <v>-38</v>
      </c>
      <c r="H39" s="42" t="s">
        <v>21</v>
      </c>
      <c r="I39" s="42" t="s">
        <v>21</v>
      </c>
      <c r="J39" s="42">
        <v>-47</v>
      </c>
      <c r="K39" s="42" t="s">
        <v>21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  <c r="T39" s="77">
        <v>0</v>
      </c>
      <c r="U39" s="77">
        <v>0</v>
      </c>
    </row>
    <row r="40" spans="1:21">
      <c r="A40" s="39" t="s">
        <v>41</v>
      </c>
      <c r="B40" s="43">
        <v>1086.4000000000001</v>
      </c>
      <c r="C40" s="43">
        <v>778</v>
      </c>
      <c r="D40" s="43">
        <v>631</v>
      </c>
      <c r="E40" s="43">
        <v>871</v>
      </c>
      <c r="F40" s="43">
        <v>697</v>
      </c>
      <c r="G40" s="43">
        <v>636</v>
      </c>
      <c r="H40" s="43">
        <v>1125</v>
      </c>
      <c r="I40" s="43">
        <v>2038</v>
      </c>
      <c r="J40" s="43">
        <v>1959</v>
      </c>
      <c r="K40" s="43">
        <v>2152</v>
      </c>
      <c r="L40" s="75">
        <f ca="1">L31-SUM(L33:L39)</f>
        <v>1767.8006262199474</v>
      </c>
      <c r="M40" s="75">
        <f t="shared" ref="M40:U40" ca="1" si="7">M31-SUM(M33:M39)</f>
        <v>1903.9921811864483</v>
      </c>
      <c r="N40" s="75">
        <f t="shared" ca="1" si="7"/>
        <v>2047.5865417809418</v>
      </c>
      <c r="O40" s="75">
        <f t="shared" ca="1" si="7"/>
        <v>2199.0184632690498</v>
      </c>
      <c r="P40" s="75">
        <f t="shared" ca="1" si="7"/>
        <v>2358.7469138426281</v>
      </c>
      <c r="Q40" s="75">
        <f t="shared" ca="1" si="7"/>
        <v>2527.256469431039</v>
      </c>
      <c r="R40" s="75">
        <f t="shared" ca="1" si="7"/>
        <v>2705.0587869404626</v>
      </c>
      <c r="S40" s="75">
        <f t="shared" ca="1" si="7"/>
        <v>2892.6941603948849</v>
      </c>
      <c r="T40" s="75">
        <f t="shared" ca="1" si="7"/>
        <v>3090.733164704669</v>
      </c>
      <c r="U40" s="75">
        <f t="shared" ca="1" si="7"/>
        <v>3299.7783920551792</v>
      </c>
    </row>
    <row r="41" spans="1:21">
      <c r="A41" s="4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1:21">
      <c r="A42" s="41" t="s">
        <v>42</v>
      </c>
      <c r="B42" s="42">
        <v>154.30000000000001</v>
      </c>
      <c r="C42" s="42">
        <v>150.19999999999999</v>
      </c>
      <c r="D42" s="42">
        <v>81</v>
      </c>
      <c r="E42" s="42">
        <v>220</v>
      </c>
      <c r="F42" s="42">
        <v>127</v>
      </c>
      <c r="G42" s="42">
        <v>152</v>
      </c>
      <c r="H42" s="42">
        <v>250</v>
      </c>
      <c r="I42" s="42">
        <v>562</v>
      </c>
      <c r="J42" s="42">
        <v>607</v>
      </c>
      <c r="K42" s="42">
        <v>553</v>
      </c>
      <c r="L42" s="77">
        <f ca="1">L40*$B$60</f>
        <v>460.97123448773846</v>
      </c>
      <c r="M42" s="77">
        <f t="shared" ref="M42:U42" ca="1" si="8">M40*$B$60</f>
        <v>496.48450916846684</v>
      </c>
      <c r="N42" s="77">
        <f t="shared" ca="1" si="8"/>
        <v>533.9281375318418</v>
      </c>
      <c r="O42" s="77">
        <f t="shared" ca="1" si="8"/>
        <v>573.41548624858456</v>
      </c>
      <c r="P42" s="77">
        <f t="shared" ca="1" si="8"/>
        <v>615.06623574580487</v>
      </c>
      <c r="Q42" s="77">
        <f t="shared" ca="1" si="8"/>
        <v>659.00674391762698</v>
      </c>
      <c r="R42" s="77">
        <f t="shared" ca="1" si="8"/>
        <v>705.37043028669279</v>
      </c>
      <c r="S42" s="77">
        <f t="shared" ca="1" si="8"/>
        <v>754.29818178308324</v>
      </c>
      <c r="T42" s="77">
        <f t="shared" ca="1" si="8"/>
        <v>805.938781372986</v>
      </c>
      <c r="U42" s="77">
        <f t="shared" ca="1" si="8"/>
        <v>860.44936083894515</v>
      </c>
    </row>
    <row r="43" spans="1:21">
      <c r="A43" s="39" t="s">
        <v>43</v>
      </c>
      <c r="B43" s="43">
        <v>932.1</v>
      </c>
      <c r="C43" s="43">
        <v>627.79999999999995</v>
      </c>
      <c r="D43" s="43">
        <v>550</v>
      </c>
      <c r="E43" s="43">
        <v>651</v>
      </c>
      <c r="F43" s="43">
        <v>570</v>
      </c>
      <c r="G43" s="43">
        <v>484</v>
      </c>
      <c r="H43" s="43">
        <v>875</v>
      </c>
      <c r="I43" s="43">
        <v>1476</v>
      </c>
      <c r="J43" s="43">
        <v>1352</v>
      </c>
      <c r="K43" s="43">
        <v>1599</v>
      </c>
      <c r="L43" s="75">
        <f ca="1">L40-L42</f>
        <v>1306.8293917322089</v>
      </c>
      <c r="M43" s="75">
        <f t="shared" ref="M43:U43" ca="1" si="9">M40-M42</f>
        <v>1407.5076720179813</v>
      </c>
      <c r="N43" s="75">
        <f t="shared" ca="1" si="9"/>
        <v>1513.6584042490999</v>
      </c>
      <c r="O43" s="75">
        <f t="shared" ca="1" si="9"/>
        <v>1625.6029770204652</v>
      </c>
      <c r="P43" s="75">
        <f t="shared" ca="1" si="9"/>
        <v>1743.6806780968232</v>
      </c>
      <c r="Q43" s="75">
        <f t="shared" ca="1" si="9"/>
        <v>1868.2497255134122</v>
      </c>
      <c r="R43" s="75">
        <f t="shared" ca="1" si="9"/>
        <v>1999.6883566537699</v>
      </c>
      <c r="S43" s="75">
        <f t="shared" ca="1" si="9"/>
        <v>2138.3959786118016</v>
      </c>
      <c r="T43" s="75">
        <f t="shared" ca="1" si="9"/>
        <v>2284.7943833316831</v>
      </c>
      <c r="U43" s="75">
        <f t="shared" ca="1" si="9"/>
        <v>2439.3290312162339</v>
      </c>
    </row>
    <row r="44" spans="1:21">
      <c r="A44" s="41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1:21">
      <c r="A45" s="41" t="s">
        <v>44</v>
      </c>
      <c r="B45" s="42" t="s">
        <v>21</v>
      </c>
      <c r="C45" s="42" t="s">
        <v>21</v>
      </c>
      <c r="D45" s="42" t="s">
        <v>21</v>
      </c>
      <c r="E45" s="42" t="s">
        <v>21</v>
      </c>
      <c r="F45" s="42" t="s">
        <v>21</v>
      </c>
      <c r="G45" s="42" t="s">
        <v>21</v>
      </c>
      <c r="H45" s="42" t="s">
        <v>21</v>
      </c>
      <c r="I45" s="42" t="s">
        <v>21</v>
      </c>
      <c r="J45" s="42" t="s">
        <v>21</v>
      </c>
      <c r="K45" s="42" t="s">
        <v>21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  <c r="R45" s="77">
        <v>0</v>
      </c>
      <c r="S45" s="77">
        <v>0</v>
      </c>
      <c r="T45" s="77">
        <v>0</v>
      </c>
      <c r="U45" s="77">
        <v>0</v>
      </c>
    </row>
    <row r="46" spans="1:21">
      <c r="A46" s="41" t="s">
        <v>45</v>
      </c>
      <c r="B46" s="42" t="s">
        <v>21</v>
      </c>
      <c r="C46" s="42" t="s">
        <v>21</v>
      </c>
      <c r="D46" s="42" t="s">
        <v>21</v>
      </c>
      <c r="E46" s="42" t="s">
        <v>21</v>
      </c>
      <c r="F46" s="42" t="s">
        <v>21</v>
      </c>
      <c r="G46" s="42" t="s">
        <v>21</v>
      </c>
      <c r="H46" s="42" t="s">
        <v>21</v>
      </c>
      <c r="I46" s="42" t="s">
        <v>21</v>
      </c>
      <c r="J46" s="42" t="s">
        <v>21</v>
      </c>
      <c r="K46" s="42" t="s">
        <v>21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v>0</v>
      </c>
      <c r="U46" s="77">
        <v>0</v>
      </c>
    </row>
    <row r="47" spans="1:21">
      <c r="A47" s="39" t="s">
        <v>46</v>
      </c>
      <c r="B47" s="43">
        <v>932.1</v>
      </c>
      <c r="C47" s="43">
        <v>627.79999999999995</v>
      </c>
      <c r="D47" s="43">
        <v>550</v>
      </c>
      <c r="E47" s="43">
        <v>651</v>
      </c>
      <c r="F47" s="43">
        <v>570</v>
      </c>
      <c r="G47" s="43">
        <v>484</v>
      </c>
      <c r="H47" s="43">
        <v>875</v>
      </c>
      <c r="I47" s="43">
        <v>1476</v>
      </c>
      <c r="J47" s="43">
        <v>1352</v>
      </c>
      <c r="K47" s="43">
        <v>1599</v>
      </c>
      <c r="L47" s="75">
        <f ca="1">L43+SUM(L45:L46)</f>
        <v>1306.8293917322089</v>
      </c>
      <c r="M47" s="75">
        <f t="shared" ref="M47:U47" ca="1" si="10">M43+SUM(M45:M46)</f>
        <v>1407.5076720179813</v>
      </c>
      <c r="N47" s="75">
        <f t="shared" ca="1" si="10"/>
        <v>1513.6584042490999</v>
      </c>
      <c r="O47" s="75">
        <f t="shared" ca="1" si="10"/>
        <v>1625.6029770204652</v>
      </c>
      <c r="P47" s="75">
        <f t="shared" ca="1" si="10"/>
        <v>1743.6806780968232</v>
      </c>
      <c r="Q47" s="75">
        <f t="shared" ca="1" si="10"/>
        <v>1868.2497255134122</v>
      </c>
      <c r="R47" s="75">
        <f t="shared" ca="1" si="10"/>
        <v>1999.6883566537699</v>
      </c>
      <c r="S47" s="75">
        <f t="shared" ca="1" si="10"/>
        <v>2138.3959786118016</v>
      </c>
      <c r="T47" s="75">
        <f t="shared" ca="1" si="10"/>
        <v>2284.7943833316831</v>
      </c>
      <c r="U47" s="75">
        <f t="shared" ca="1" si="10"/>
        <v>2439.3290312162339</v>
      </c>
    </row>
    <row r="48" spans="1:21">
      <c r="A48" s="41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1:21">
      <c r="A49" s="41" t="s">
        <v>47</v>
      </c>
      <c r="B49" s="42" t="s">
        <v>21</v>
      </c>
      <c r="C49" s="42" t="s">
        <v>21</v>
      </c>
      <c r="D49" s="42" t="s">
        <v>21</v>
      </c>
      <c r="E49" s="42" t="s">
        <v>21</v>
      </c>
      <c r="F49" s="42" t="s">
        <v>21</v>
      </c>
      <c r="G49" s="42" t="s">
        <v>21</v>
      </c>
      <c r="H49" s="42" t="s">
        <v>21</v>
      </c>
      <c r="I49" s="42" t="s">
        <v>21</v>
      </c>
      <c r="J49" s="42" t="s">
        <v>21</v>
      </c>
      <c r="K49" s="42" t="s">
        <v>21</v>
      </c>
      <c r="L49" s="77">
        <v>0</v>
      </c>
      <c r="M49" s="77">
        <v>0</v>
      </c>
      <c r="N49" s="77">
        <v>0</v>
      </c>
      <c r="O49" s="77">
        <v>0</v>
      </c>
      <c r="P49" s="77">
        <v>0</v>
      </c>
      <c r="Q49" s="77">
        <v>0</v>
      </c>
      <c r="R49" s="77">
        <v>0</v>
      </c>
      <c r="S49" s="77">
        <v>0</v>
      </c>
      <c r="T49" s="77">
        <v>0</v>
      </c>
      <c r="U49" s="77">
        <v>0</v>
      </c>
    </row>
    <row r="50" spans="1:21">
      <c r="A50" s="39" t="s">
        <v>48</v>
      </c>
      <c r="B50" s="45">
        <v>932.1</v>
      </c>
      <c r="C50" s="45">
        <v>627.79999999999995</v>
      </c>
      <c r="D50" s="45">
        <v>550</v>
      </c>
      <c r="E50" s="45">
        <v>651</v>
      </c>
      <c r="F50" s="45">
        <v>570</v>
      </c>
      <c r="G50" s="45">
        <v>484</v>
      </c>
      <c r="H50" s="45">
        <v>875</v>
      </c>
      <c r="I50" s="45">
        <v>1476</v>
      </c>
      <c r="J50" s="45">
        <v>1352</v>
      </c>
      <c r="K50" s="45">
        <v>1599</v>
      </c>
      <c r="L50" s="79">
        <f ca="1">L47-L49</f>
        <v>1306.8293917322089</v>
      </c>
      <c r="M50" s="79">
        <f t="shared" ref="M50:U50" ca="1" si="11">M47-M49</f>
        <v>1407.5076720179813</v>
      </c>
      <c r="N50" s="79">
        <f t="shared" ca="1" si="11"/>
        <v>1513.6584042490999</v>
      </c>
      <c r="O50" s="79">
        <f t="shared" ca="1" si="11"/>
        <v>1625.6029770204652</v>
      </c>
      <c r="P50" s="79">
        <f t="shared" ca="1" si="11"/>
        <v>1743.6806780968232</v>
      </c>
      <c r="Q50" s="79">
        <f t="shared" ca="1" si="11"/>
        <v>1868.2497255134122</v>
      </c>
      <c r="R50" s="79">
        <f t="shared" ca="1" si="11"/>
        <v>1999.6883566537699</v>
      </c>
      <c r="S50" s="79">
        <f t="shared" ca="1" si="11"/>
        <v>2138.3959786118016</v>
      </c>
      <c r="T50" s="79">
        <f t="shared" ca="1" si="11"/>
        <v>2284.7943833316831</v>
      </c>
      <c r="U50" s="79">
        <f t="shared" ca="1" si="11"/>
        <v>2439.3290312162339</v>
      </c>
    </row>
    <row r="51" spans="1:21" s="49" customFormat="1">
      <c r="A51" s="48" t="s">
        <v>49</v>
      </c>
    </row>
    <row r="52" spans="1:21">
      <c r="A52" s="142" t="s">
        <v>50</v>
      </c>
      <c r="B52" s="142"/>
    </row>
    <row r="53" spans="1:21">
      <c r="A53" s="50" t="s">
        <v>51</v>
      </c>
      <c r="B53" s="53">
        <f>(((K10/B10)^(1/5))-1)</f>
        <v>5.7707485959106686E-2</v>
      </c>
      <c r="C53" s="72" t="s">
        <v>52</v>
      </c>
      <c r="D53" s="72"/>
      <c r="E53" s="52"/>
      <c r="F53" s="72"/>
      <c r="G53" s="72"/>
      <c r="H53" s="72"/>
      <c r="I53" s="72"/>
      <c r="J53" s="72"/>
      <c r="K53" s="72"/>
    </row>
    <row r="54" spans="1:21">
      <c r="A54" s="50" t="s">
        <v>53</v>
      </c>
      <c r="B54" s="55">
        <f>AVERAGE(G55:K55)</f>
        <v>0.55822054402620036</v>
      </c>
      <c r="C54" s="72" t="s">
        <v>54</v>
      </c>
      <c r="D54" s="72"/>
      <c r="E54" s="72"/>
      <c r="F54" s="72"/>
      <c r="G54" s="72"/>
      <c r="H54" s="72"/>
      <c r="I54" s="72"/>
      <c r="J54" s="72"/>
      <c r="K54" s="72"/>
    </row>
    <row r="55" spans="1:21">
      <c r="A55" s="50"/>
      <c r="B55" s="51">
        <f t="shared" ref="B55:K55" si="12">B12/B10</f>
        <v>0.66260939756988702</v>
      </c>
      <c r="C55" s="51">
        <f t="shared" si="12"/>
        <v>0.70937902347231852</v>
      </c>
      <c r="D55" s="51">
        <f t="shared" si="12"/>
        <v>0.70717855520218087</v>
      </c>
      <c r="E55" s="51">
        <f t="shared" si="12"/>
        <v>0.67777554707889986</v>
      </c>
      <c r="F55" s="51">
        <f t="shared" si="12"/>
        <v>0.71856287425149701</v>
      </c>
      <c r="G55" s="51">
        <f t="shared" si="12"/>
        <v>0.67585601404741003</v>
      </c>
      <c r="H55" s="51">
        <f t="shared" si="12"/>
        <v>0.5902494700798957</v>
      </c>
      <c r="I55" s="51">
        <f t="shared" si="12"/>
        <v>0.54969788519637464</v>
      </c>
      <c r="J55" s="51">
        <f t="shared" si="12"/>
        <v>0.51028009535160901</v>
      </c>
      <c r="K55" s="51">
        <f t="shared" si="12"/>
        <v>0.46501925545571243</v>
      </c>
      <c r="L55" s="65"/>
    </row>
    <row r="56" spans="1:21">
      <c r="A56" s="50" t="s">
        <v>55</v>
      </c>
      <c r="B56" s="55">
        <f>AVERAGE(G57:K57)</f>
        <v>3.9391988814121953E-2</v>
      </c>
      <c r="C56" s="72"/>
      <c r="D56" s="72"/>
      <c r="E56" s="72"/>
      <c r="F56" s="72"/>
      <c r="G56" s="72"/>
      <c r="H56" s="72"/>
      <c r="I56" s="72"/>
      <c r="J56" s="72"/>
      <c r="K56" s="72"/>
    </row>
    <row r="57" spans="1:21">
      <c r="A57" s="50"/>
      <c r="B57" s="52">
        <f>B17/'Balance Sheet'!B25</f>
        <v>4.7927620884110449E-2</v>
      </c>
      <c r="C57" s="52">
        <f>C17/'Balance Sheet'!C25</f>
        <v>3.457519823005991E-2</v>
      </c>
      <c r="D57" s="52">
        <f>D17/'Balance Sheet'!D25</f>
        <v>4.0322244020536795E-2</v>
      </c>
      <c r="E57" s="52">
        <f>E17/'Balance Sheet'!E25</f>
        <v>4.0760190047511878E-2</v>
      </c>
      <c r="F57" s="52">
        <f>F17/'Balance Sheet'!F25</f>
        <v>3.8425345043914677E-2</v>
      </c>
      <c r="G57" s="52">
        <f>G17/'Balance Sheet'!G25</f>
        <v>4.142011834319527E-2</v>
      </c>
      <c r="H57" s="52">
        <f>H17/'Balance Sheet'!H25</f>
        <v>4.2395137690402943E-2</v>
      </c>
      <c r="I57" s="52">
        <f>I17/'Balance Sheet'!I25</f>
        <v>3.8232442166505058E-2</v>
      </c>
      <c r="J57" s="52">
        <f>J17/'Balance Sheet'!J25</f>
        <v>3.6563633011737234E-2</v>
      </c>
      <c r="K57" s="52">
        <f>K17/'Balance Sheet'!K25</f>
        <v>3.8348612858769247E-2</v>
      </c>
    </row>
    <row r="58" spans="1:21">
      <c r="A58" s="50" t="s">
        <v>56</v>
      </c>
      <c r="B58" s="55">
        <f>AVERAGE(G59:K59)</f>
        <v>-5.3238226899496158E-2</v>
      </c>
      <c r="C58" s="72"/>
      <c r="D58" s="72"/>
      <c r="E58" s="72"/>
      <c r="F58" s="72"/>
      <c r="G58" s="72"/>
      <c r="H58" s="72"/>
      <c r="I58" s="72"/>
      <c r="J58" s="72"/>
      <c r="K58" s="72"/>
    </row>
    <row r="59" spans="1:21">
      <c r="A59" s="50"/>
      <c r="B59" s="52">
        <f>B24/('Balance Sheet'!B37+'Balance Sheet'!B38+'Balance Sheet'!B44)</f>
        <v>-4.9830946924141688E-2</v>
      </c>
      <c r="C59" s="52">
        <f>C24/('Balance Sheet'!C37+'Balance Sheet'!C38+'Balance Sheet'!C44)</f>
        <v>-5.3361749216172455E-2</v>
      </c>
      <c r="D59" s="52">
        <f>D24/('Balance Sheet'!D37+'Balance Sheet'!D38+'Balance Sheet'!D44)</f>
        <v>-6.0293032570886473E-2</v>
      </c>
      <c r="E59" s="52">
        <f>E24/('Balance Sheet'!E37+'Balance Sheet'!E38+'Balance Sheet'!E44)</f>
        <v>-6.2108922363847047E-2</v>
      </c>
      <c r="F59" s="52">
        <f>F24/('Balance Sheet'!F37+'Balance Sheet'!F38+'Balance Sheet'!F44)</f>
        <v>-5.3436714165968145E-2</v>
      </c>
      <c r="G59" s="52">
        <f>G24/('Balance Sheet'!G37+'Balance Sheet'!G38+'Balance Sheet'!G44)</f>
        <v>-5.948827292110874E-2</v>
      </c>
      <c r="H59" s="52">
        <f>H24/('Balance Sheet'!H37+'Balance Sheet'!H38+'Balance Sheet'!H44)</f>
        <v>-5.8483157677206035E-2</v>
      </c>
      <c r="I59" s="52">
        <f>I24/('Balance Sheet'!I37+'Balance Sheet'!I38+'Balance Sheet'!I44)</f>
        <v>-4.9446749654218532E-2</v>
      </c>
      <c r="J59" s="52">
        <f>J24/('Balance Sheet'!J37+'Balance Sheet'!J38+'Balance Sheet'!J44)</f>
        <v>-4.3806143950316068E-2</v>
      </c>
      <c r="K59" s="52">
        <f>K24/('Balance Sheet'!K37+'Balance Sheet'!K38+'Balance Sheet'!K44)</f>
        <v>-5.4966810294631421E-2</v>
      </c>
    </row>
    <row r="60" spans="1:21">
      <c r="A60" s="50" t="s">
        <v>57</v>
      </c>
      <c r="B60" s="55">
        <f>AVERAGE(G61:K61)</f>
        <v>0.2607597415967795</v>
      </c>
      <c r="C60" s="72" t="s">
        <v>54</v>
      </c>
      <c r="D60" s="72"/>
      <c r="E60" s="72"/>
      <c r="F60" s="72"/>
      <c r="G60" s="72"/>
      <c r="H60" s="72"/>
      <c r="I60" s="72"/>
      <c r="J60" s="72"/>
      <c r="K60" s="72"/>
    </row>
    <row r="61" spans="1:21">
      <c r="A61" s="50"/>
      <c r="B61" s="140">
        <f>B42/B40</f>
        <v>0.14202871870397643</v>
      </c>
      <c r="C61" s="52">
        <f t="shared" ref="C61:K61" si="13">C42/C40</f>
        <v>0.19305912596401026</v>
      </c>
      <c r="D61" s="52">
        <f t="shared" si="13"/>
        <v>0.12836767036450078</v>
      </c>
      <c r="E61" s="52">
        <f t="shared" si="13"/>
        <v>0.2525832376578645</v>
      </c>
      <c r="F61" s="52">
        <f t="shared" si="13"/>
        <v>0.18220946915351507</v>
      </c>
      <c r="G61" s="52">
        <f t="shared" si="13"/>
        <v>0.2389937106918239</v>
      </c>
      <c r="H61" s="52">
        <f t="shared" si="13"/>
        <v>0.22222222222222221</v>
      </c>
      <c r="I61" s="52">
        <f t="shared" si="13"/>
        <v>0.27576054955839058</v>
      </c>
      <c r="J61" s="52">
        <f t="shared" si="13"/>
        <v>0.30985196528841247</v>
      </c>
      <c r="K61" s="52">
        <f t="shared" si="13"/>
        <v>0.25697026022304831</v>
      </c>
    </row>
  </sheetData>
  <dataConsolidate/>
  <mergeCells count="2">
    <mergeCell ref="A52:B52"/>
    <mergeCell ref="L5:U5"/>
  </mergeCells>
  <pageMargins left="0.2" right="0.2" top="0.5" bottom="0.5" header="0.5" footer="0.5"/>
  <pageSetup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outlinePr summaryBelow="0" summaryRight="0"/>
    <pageSetUpPr autoPageBreaks="0"/>
  </sheetPr>
  <dimension ref="A5:IS73"/>
  <sheetViews>
    <sheetView topLeftCell="A64" zoomScale="90" zoomScaleNormal="90" zoomScalePageLayoutView="90" workbookViewId="0">
      <selection activeCell="I62" sqref="I62"/>
    </sheetView>
  </sheetViews>
  <sheetFormatPr defaultColWidth="8.85546875" defaultRowHeight="11.25"/>
  <cols>
    <col min="1" max="1" width="33" style="47" customWidth="1"/>
    <col min="2" max="2" width="13.140625" style="47" customWidth="1"/>
    <col min="3" max="3" width="13" style="47" customWidth="1"/>
    <col min="4" max="4" width="13.85546875" style="47" customWidth="1"/>
    <col min="5" max="5" width="13.140625" style="47" customWidth="1"/>
    <col min="6" max="6" width="12.28515625" style="47" customWidth="1"/>
    <col min="7" max="8" width="13.42578125" style="47" customWidth="1"/>
    <col min="9" max="9" width="12.85546875" style="47" customWidth="1"/>
    <col min="10" max="10" width="13.7109375" style="47" customWidth="1"/>
    <col min="11" max="11" width="15.28515625" style="47" customWidth="1"/>
    <col min="12" max="13" width="10" style="47" bestFit="1" customWidth="1"/>
    <col min="14" max="14" width="10.28515625" style="47" bestFit="1" customWidth="1"/>
    <col min="15" max="20" width="10" style="47" bestFit="1" customWidth="1"/>
    <col min="21" max="21" width="10.28515625" style="47" bestFit="1" customWidth="1"/>
    <col min="22" max="22" width="11.7109375" style="47" customWidth="1"/>
    <col min="23" max="256" width="8.85546875" style="47"/>
    <col min="257" max="257" width="33" style="47" customWidth="1"/>
    <col min="258" max="258" width="13.140625" style="47" customWidth="1"/>
    <col min="259" max="261" width="10.42578125" style="47" customWidth="1"/>
    <col min="262" max="262" width="12.28515625" style="47" customWidth="1"/>
    <col min="263" max="263" width="13.42578125" style="47" customWidth="1"/>
    <col min="264" max="265" width="10.42578125" style="47" customWidth="1"/>
    <col min="266" max="266" width="13.7109375" style="47" customWidth="1"/>
    <col min="267" max="267" width="15.28515625" style="47" customWidth="1"/>
    <col min="268" max="277" width="8.85546875" style="47"/>
    <col min="278" max="278" width="11.7109375" style="47" customWidth="1"/>
    <col min="279" max="512" width="8.85546875" style="47"/>
    <col min="513" max="513" width="33" style="47" customWidth="1"/>
    <col min="514" max="514" width="13.140625" style="47" customWidth="1"/>
    <col min="515" max="517" width="10.42578125" style="47" customWidth="1"/>
    <col min="518" max="518" width="12.28515625" style="47" customWidth="1"/>
    <col min="519" max="519" width="13.42578125" style="47" customWidth="1"/>
    <col min="520" max="521" width="10.42578125" style="47" customWidth="1"/>
    <col min="522" max="522" width="13.7109375" style="47" customWidth="1"/>
    <col min="523" max="523" width="15.28515625" style="47" customWidth="1"/>
    <col min="524" max="533" width="8.85546875" style="47"/>
    <col min="534" max="534" width="11.7109375" style="47" customWidth="1"/>
    <col min="535" max="768" width="8.85546875" style="47"/>
    <col min="769" max="769" width="33" style="47" customWidth="1"/>
    <col min="770" max="770" width="13.140625" style="47" customWidth="1"/>
    <col min="771" max="773" width="10.42578125" style="47" customWidth="1"/>
    <col min="774" max="774" width="12.28515625" style="47" customWidth="1"/>
    <col min="775" max="775" width="13.42578125" style="47" customWidth="1"/>
    <col min="776" max="777" width="10.42578125" style="47" customWidth="1"/>
    <col min="778" max="778" width="13.7109375" style="47" customWidth="1"/>
    <col min="779" max="779" width="15.28515625" style="47" customWidth="1"/>
    <col min="780" max="789" width="8.85546875" style="47"/>
    <col min="790" max="790" width="11.7109375" style="47" customWidth="1"/>
    <col min="791" max="1024" width="8.85546875" style="47"/>
    <col min="1025" max="1025" width="33" style="47" customWidth="1"/>
    <col min="1026" max="1026" width="13.140625" style="47" customWidth="1"/>
    <col min="1027" max="1029" width="10.42578125" style="47" customWidth="1"/>
    <col min="1030" max="1030" width="12.28515625" style="47" customWidth="1"/>
    <col min="1031" max="1031" width="13.42578125" style="47" customWidth="1"/>
    <col min="1032" max="1033" width="10.42578125" style="47" customWidth="1"/>
    <col min="1034" max="1034" width="13.7109375" style="47" customWidth="1"/>
    <col min="1035" max="1035" width="15.28515625" style="47" customWidth="1"/>
    <col min="1036" max="1045" width="8.85546875" style="47"/>
    <col min="1046" max="1046" width="11.7109375" style="47" customWidth="1"/>
    <col min="1047" max="1280" width="8.85546875" style="47"/>
    <col min="1281" max="1281" width="33" style="47" customWidth="1"/>
    <col min="1282" max="1282" width="13.140625" style="47" customWidth="1"/>
    <col min="1283" max="1285" width="10.42578125" style="47" customWidth="1"/>
    <col min="1286" max="1286" width="12.28515625" style="47" customWidth="1"/>
    <col min="1287" max="1287" width="13.42578125" style="47" customWidth="1"/>
    <col min="1288" max="1289" width="10.42578125" style="47" customWidth="1"/>
    <col min="1290" max="1290" width="13.7109375" style="47" customWidth="1"/>
    <col min="1291" max="1291" width="15.28515625" style="47" customWidth="1"/>
    <col min="1292" max="1301" width="8.85546875" style="47"/>
    <col min="1302" max="1302" width="11.7109375" style="47" customWidth="1"/>
    <col min="1303" max="1536" width="8.85546875" style="47"/>
    <col min="1537" max="1537" width="33" style="47" customWidth="1"/>
    <col min="1538" max="1538" width="13.140625" style="47" customWidth="1"/>
    <col min="1539" max="1541" width="10.42578125" style="47" customWidth="1"/>
    <col min="1542" max="1542" width="12.28515625" style="47" customWidth="1"/>
    <col min="1543" max="1543" width="13.42578125" style="47" customWidth="1"/>
    <col min="1544" max="1545" width="10.42578125" style="47" customWidth="1"/>
    <col min="1546" max="1546" width="13.7109375" style="47" customWidth="1"/>
    <col min="1547" max="1547" width="15.28515625" style="47" customWidth="1"/>
    <col min="1548" max="1557" width="8.85546875" style="47"/>
    <col min="1558" max="1558" width="11.7109375" style="47" customWidth="1"/>
    <col min="1559" max="1792" width="8.85546875" style="47"/>
    <col min="1793" max="1793" width="33" style="47" customWidth="1"/>
    <col min="1794" max="1794" width="13.140625" style="47" customWidth="1"/>
    <col min="1795" max="1797" width="10.42578125" style="47" customWidth="1"/>
    <col min="1798" max="1798" width="12.28515625" style="47" customWidth="1"/>
    <col min="1799" max="1799" width="13.42578125" style="47" customWidth="1"/>
    <col min="1800" max="1801" width="10.42578125" style="47" customWidth="1"/>
    <col min="1802" max="1802" width="13.7109375" style="47" customWidth="1"/>
    <col min="1803" max="1803" width="15.28515625" style="47" customWidth="1"/>
    <col min="1804" max="1813" width="8.85546875" style="47"/>
    <col min="1814" max="1814" width="11.7109375" style="47" customWidth="1"/>
    <col min="1815" max="2048" width="8.85546875" style="47"/>
    <col min="2049" max="2049" width="33" style="47" customWidth="1"/>
    <col min="2050" max="2050" width="13.140625" style="47" customWidth="1"/>
    <col min="2051" max="2053" width="10.42578125" style="47" customWidth="1"/>
    <col min="2054" max="2054" width="12.28515625" style="47" customWidth="1"/>
    <col min="2055" max="2055" width="13.42578125" style="47" customWidth="1"/>
    <col min="2056" max="2057" width="10.42578125" style="47" customWidth="1"/>
    <col min="2058" max="2058" width="13.7109375" style="47" customWidth="1"/>
    <col min="2059" max="2059" width="15.28515625" style="47" customWidth="1"/>
    <col min="2060" max="2069" width="8.85546875" style="47"/>
    <col min="2070" max="2070" width="11.7109375" style="47" customWidth="1"/>
    <col min="2071" max="2304" width="8.85546875" style="47"/>
    <col min="2305" max="2305" width="33" style="47" customWidth="1"/>
    <col min="2306" max="2306" width="13.140625" style="47" customWidth="1"/>
    <col min="2307" max="2309" width="10.42578125" style="47" customWidth="1"/>
    <col min="2310" max="2310" width="12.28515625" style="47" customWidth="1"/>
    <col min="2311" max="2311" width="13.42578125" style="47" customWidth="1"/>
    <col min="2312" max="2313" width="10.42578125" style="47" customWidth="1"/>
    <col min="2314" max="2314" width="13.7109375" style="47" customWidth="1"/>
    <col min="2315" max="2315" width="15.28515625" style="47" customWidth="1"/>
    <col min="2316" max="2325" width="8.85546875" style="47"/>
    <col min="2326" max="2326" width="11.7109375" style="47" customWidth="1"/>
    <col min="2327" max="2560" width="8.85546875" style="47"/>
    <col min="2561" max="2561" width="33" style="47" customWidth="1"/>
    <col min="2562" max="2562" width="13.140625" style="47" customWidth="1"/>
    <col min="2563" max="2565" width="10.42578125" style="47" customWidth="1"/>
    <col min="2566" max="2566" width="12.28515625" style="47" customWidth="1"/>
    <col min="2567" max="2567" width="13.42578125" style="47" customWidth="1"/>
    <col min="2568" max="2569" width="10.42578125" style="47" customWidth="1"/>
    <col min="2570" max="2570" width="13.7109375" style="47" customWidth="1"/>
    <col min="2571" max="2571" width="15.28515625" style="47" customWidth="1"/>
    <col min="2572" max="2581" width="8.85546875" style="47"/>
    <col min="2582" max="2582" width="11.7109375" style="47" customWidth="1"/>
    <col min="2583" max="2816" width="8.85546875" style="47"/>
    <col min="2817" max="2817" width="33" style="47" customWidth="1"/>
    <col min="2818" max="2818" width="13.140625" style="47" customWidth="1"/>
    <col min="2819" max="2821" width="10.42578125" style="47" customWidth="1"/>
    <col min="2822" max="2822" width="12.28515625" style="47" customWidth="1"/>
    <col min="2823" max="2823" width="13.42578125" style="47" customWidth="1"/>
    <col min="2824" max="2825" width="10.42578125" style="47" customWidth="1"/>
    <col min="2826" max="2826" width="13.7109375" style="47" customWidth="1"/>
    <col min="2827" max="2827" width="15.28515625" style="47" customWidth="1"/>
    <col min="2828" max="2837" width="8.85546875" style="47"/>
    <col min="2838" max="2838" width="11.7109375" style="47" customWidth="1"/>
    <col min="2839" max="3072" width="8.85546875" style="47"/>
    <col min="3073" max="3073" width="33" style="47" customWidth="1"/>
    <col min="3074" max="3074" width="13.140625" style="47" customWidth="1"/>
    <col min="3075" max="3077" width="10.42578125" style="47" customWidth="1"/>
    <col min="3078" max="3078" width="12.28515625" style="47" customWidth="1"/>
    <col min="3079" max="3079" width="13.42578125" style="47" customWidth="1"/>
    <col min="3080" max="3081" width="10.42578125" style="47" customWidth="1"/>
    <col min="3082" max="3082" width="13.7109375" style="47" customWidth="1"/>
    <col min="3083" max="3083" width="15.28515625" style="47" customWidth="1"/>
    <col min="3084" max="3093" width="8.85546875" style="47"/>
    <col min="3094" max="3094" width="11.7109375" style="47" customWidth="1"/>
    <col min="3095" max="3328" width="8.85546875" style="47"/>
    <col min="3329" max="3329" width="33" style="47" customWidth="1"/>
    <col min="3330" max="3330" width="13.140625" style="47" customWidth="1"/>
    <col min="3331" max="3333" width="10.42578125" style="47" customWidth="1"/>
    <col min="3334" max="3334" width="12.28515625" style="47" customWidth="1"/>
    <col min="3335" max="3335" width="13.42578125" style="47" customWidth="1"/>
    <col min="3336" max="3337" width="10.42578125" style="47" customWidth="1"/>
    <col min="3338" max="3338" width="13.7109375" style="47" customWidth="1"/>
    <col min="3339" max="3339" width="15.28515625" style="47" customWidth="1"/>
    <col min="3340" max="3349" width="8.85546875" style="47"/>
    <col min="3350" max="3350" width="11.7109375" style="47" customWidth="1"/>
    <col min="3351" max="3584" width="8.85546875" style="47"/>
    <col min="3585" max="3585" width="33" style="47" customWidth="1"/>
    <col min="3586" max="3586" width="13.140625" style="47" customWidth="1"/>
    <col min="3587" max="3589" width="10.42578125" style="47" customWidth="1"/>
    <col min="3590" max="3590" width="12.28515625" style="47" customWidth="1"/>
    <col min="3591" max="3591" width="13.42578125" style="47" customWidth="1"/>
    <col min="3592" max="3593" width="10.42578125" style="47" customWidth="1"/>
    <col min="3594" max="3594" width="13.7109375" style="47" customWidth="1"/>
    <col min="3595" max="3595" width="15.28515625" style="47" customWidth="1"/>
    <col min="3596" max="3605" width="8.85546875" style="47"/>
    <col min="3606" max="3606" width="11.7109375" style="47" customWidth="1"/>
    <col min="3607" max="3840" width="8.85546875" style="47"/>
    <col min="3841" max="3841" width="33" style="47" customWidth="1"/>
    <col min="3842" max="3842" width="13.140625" style="47" customWidth="1"/>
    <col min="3843" max="3845" width="10.42578125" style="47" customWidth="1"/>
    <col min="3846" max="3846" width="12.28515625" style="47" customWidth="1"/>
    <col min="3847" max="3847" width="13.42578125" style="47" customWidth="1"/>
    <col min="3848" max="3849" width="10.42578125" style="47" customWidth="1"/>
    <col min="3850" max="3850" width="13.7109375" style="47" customWidth="1"/>
    <col min="3851" max="3851" width="15.28515625" style="47" customWidth="1"/>
    <col min="3852" max="3861" width="8.85546875" style="47"/>
    <col min="3862" max="3862" width="11.7109375" style="47" customWidth="1"/>
    <col min="3863" max="4096" width="8.85546875" style="47"/>
    <col min="4097" max="4097" width="33" style="47" customWidth="1"/>
    <col min="4098" max="4098" width="13.140625" style="47" customWidth="1"/>
    <col min="4099" max="4101" width="10.42578125" style="47" customWidth="1"/>
    <col min="4102" max="4102" width="12.28515625" style="47" customWidth="1"/>
    <col min="4103" max="4103" width="13.42578125" style="47" customWidth="1"/>
    <col min="4104" max="4105" width="10.42578125" style="47" customWidth="1"/>
    <col min="4106" max="4106" width="13.7109375" style="47" customWidth="1"/>
    <col min="4107" max="4107" width="15.28515625" style="47" customWidth="1"/>
    <col min="4108" max="4117" width="8.85546875" style="47"/>
    <col min="4118" max="4118" width="11.7109375" style="47" customWidth="1"/>
    <col min="4119" max="4352" width="8.85546875" style="47"/>
    <col min="4353" max="4353" width="33" style="47" customWidth="1"/>
    <col min="4354" max="4354" width="13.140625" style="47" customWidth="1"/>
    <col min="4355" max="4357" width="10.42578125" style="47" customWidth="1"/>
    <col min="4358" max="4358" width="12.28515625" style="47" customWidth="1"/>
    <col min="4359" max="4359" width="13.42578125" style="47" customWidth="1"/>
    <col min="4360" max="4361" width="10.42578125" style="47" customWidth="1"/>
    <col min="4362" max="4362" width="13.7109375" style="47" customWidth="1"/>
    <col min="4363" max="4363" width="15.28515625" style="47" customWidth="1"/>
    <col min="4364" max="4373" width="8.85546875" style="47"/>
    <col min="4374" max="4374" width="11.7109375" style="47" customWidth="1"/>
    <col min="4375" max="4608" width="8.85546875" style="47"/>
    <col min="4609" max="4609" width="33" style="47" customWidth="1"/>
    <col min="4610" max="4610" width="13.140625" style="47" customWidth="1"/>
    <col min="4611" max="4613" width="10.42578125" style="47" customWidth="1"/>
    <col min="4614" max="4614" width="12.28515625" style="47" customWidth="1"/>
    <col min="4615" max="4615" width="13.42578125" style="47" customWidth="1"/>
    <col min="4616" max="4617" width="10.42578125" style="47" customWidth="1"/>
    <col min="4618" max="4618" width="13.7109375" style="47" customWidth="1"/>
    <col min="4619" max="4619" width="15.28515625" style="47" customWidth="1"/>
    <col min="4620" max="4629" width="8.85546875" style="47"/>
    <col min="4630" max="4630" width="11.7109375" style="47" customWidth="1"/>
    <col min="4631" max="4864" width="8.85546875" style="47"/>
    <col min="4865" max="4865" width="33" style="47" customWidth="1"/>
    <col min="4866" max="4866" width="13.140625" style="47" customWidth="1"/>
    <col min="4867" max="4869" width="10.42578125" style="47" customWidth="1"/>
    <col min="4870" max="4870" width="12.28515625" style="47" customWidth="1"/>
    <col min="4871" max="4871" width="13.42578125" style="47" customWidth="1"/>
    <col min="4872" max="4873" width="10.42578125" style="47" customWidth="1"/>
    <col min="4874" max="4874" width="13.7109375" style="47" customWidth="1"/>
    <col min="4875" max="4875" width="15.28515625" style="47" customWidth="1"/>
    <col min="4876" max="4885" width="8.85546875" style="47"/>
    <col min="4886" max="4886" width="11.7109375" style="47" customWidth="1"/>
    <col min="4887" max="5120" width="8.85546875" style="47"/>
    <col min="5121" max="5121" width="33" style="47" customWidth="1"/>
    <col min="5122" max="5122" width="13.140625" style="47" customWidth="1"/>
    <col min="5123" max="5125" width="10.42578125" style="47" customWidth="1"/>
    <col min="5126" max="5126" width="12.28515625" style="47" customWidth="1"/>
    <col min="5127" max="5127" width="13.42578125" style="47" customWidth="1"/>
    <col min="5128" max="5129" width="10.42578125" style="47" customWidth="1"/>
    <col min="5130" max="5130" width="13.7109375" style="47" customWidth="1"/>
    <col min="5131" max="5131" width="15.28515625" style="47" customWidth="1"/>
    <col min="5132" max="5141" width="8.85546875" style="47"/>
    <col min="5142" max="5142" width="11.7109375" style="47" customWidth="1"/>
    <col min="5143" max="5376" width="8.85546875" style="47"/>
    <col min="5377" max="5377" width="33" style="47" customWidth="1"/>
    <col min="5378" max="5378" width="13.140625" style="47" customWidth="1"/>
    <col min="5379" max="5381" width="10.42578125" style="47" customWidth="1"/>
    <col min="5382" max="5382" width="12.28515625" style="47" customWidth="1"/>
    <col min="5383" max="5383" width="13.42578125" style="47" customWidth="1"/>
    <col min="5384" max="5385" width="10.42578125" style="47" customWidth="1"/>
    <col min="5386" max="5386" width="13.7109375" style="47" customWidth="1"/>
    <col min="5387" max="5387" width="15.28515625" style="47" customWidth="1"/>
    <col min="5388" max="5397" width="8.85546875" style="47"/>
    <col min="5398" max="5398" width="11.7109375" style="47" customWidth="1"/>
    <col min="5399" max="5632" width="8.85546875" style="47"/>
    <col min="5633" max="5633" width="33" style="47" customWidth="1"/>
    <col min="5634" max="5634" width="13.140625" style="47" customWidth="1"/>
    <col min="5635" max="5637" width="10.42578125" style="47" customWidth="1"/>
    <col min="5638" max="5638" width="12.28515625" style="47" customWidth="1"/>
    <col min="5639" max="5639" width="13.42578125" style="47" customWidth="1"/>
    <col min="5640" max="5641" width="10.42578125" style="47" customWidth="1"/>
    <col min="5642" max="5642" width="13.7109375" style="47" customWidth="1"/>
    <col min="5643" max="5643" width="15.28515625" style="47" customWidth="1"/>
    <col min="5644" max="5653" width="8.85546875" style="47"/>
    <col min="5654" max="5654" width="11.7109375" style="47" customWidth="1"/>
    <col min="5655" max="5888" width="8.85546875" style="47"/>
    <col min="5889" max="5889" width="33" style="47" customWidth="1"/>
    <col min="5890" max="5890" width="13.140625" style="47" customWidth="1"/>
    <col min="5891" max="5893" width="10.42578125" style="47" customWidth="1"/>
    <col min="5894" max="5894" width="12.28515625" style="47" customWidth="1"/>
    <col min="5895" max="5895" width="13.42578125" style="47" customWidth="1"/>
    <col min="5896" max="5897" width="10.42578125" style="47" customWidth="1"/>
    <col min="5898" max="5898" width="13.7109375" style="47" customWidth="1"/>
    <col min="5899" max="5899" width="15.28515625" style="47" customWidth="1"/>
    <col min="5900" max="5909" width="8.85546875" style="47"/>
    <col min="5910" max="5910" width="11.7109375" style="47" customWidth="1"/>
    <col min="5911" max="6144" width="8.85546875" style="47"/>
    <col min="6145" max="6145" width="33" style="47" customWidth="1"/>
    <col min="6146" max="6146" width="13.140625" style="47" customWidth="1"/>
    <col min="6147" max="6149" width="10.42578125" style="47" customWidth="1"/>
    <col min="6150" max="6150" width="12.28515625" style="47" customWidth="1"/>
    <col min="6151" max="6151" width="13.42578125" style="47" customWidth="1"/>
    <col min="6152" max="6153" width="10.42578125" style="47" customWidth="1"/>
    <col min="6154" max="6154" width="13.7109375" style="47" customWidth="1"/>
    <col min="6155" max="6155" width="15.28515625" style="47" customWidth="1"/>
    <col min="6156" max="6165" width="8.85546875" style="47"/>
    <col min="6166" max="6166" width="11.7109375" style="47" customWidth="1"/>
    <col min="6167" max="6400" width="8.85546875" style="47"/>
    <col min="6401" max="6401" width="33" style="47" customWidth="1"/>
    <col min="6402" max="6402" width="13.140625" style="47" customWidth="1"/>
    <col min="6403" max="6405" width="10.42578125" style="47" customWidth="1"/>
    <col min="6406" max="6406" width="12.28515625" style="47" customWidth="1"/>
    <col min="6407" max="6407" width="13.42578125" style="47" customWidth="1"/>
    <col min="6408" max="6409" width="10.42578125" style="47" customWidth="1"/>
    <col min="6410" max="6410" width="13.7109375" style="47" customWidth="1"/>
    <col min="6411" max="6411" width="15.28515625" style="47" customWidth="1"/>
    <col min="6412" max="6421" width="8.85546875" style="47"/>
    <col min="6422" max="6422" width="11.7109375" style="47" customWidth="1"/>
    <col min="6423" max="6656" width="8.85546875" style="47"/>
    <col min="6657" max="6657" width="33" style="47" customWidth="1"/>
    <col min="6658" max="6658" width="13.140625" style="47" customWidth="1"/>
    <col min="6659" max="6661" width="10.42578125" style="47" customWidth="1"/>
    <col min="6662" max="6662" width="12.28515625" style="47" customWidth="1"/>
    <col min="6663" max="6663" width="13.42578125" style="47" customWidth="1"/>
    <col min="6664" max="6665" width="10.42578125" style="47" customWidth="1"/>
    <col min="6666" max="6666" width="13.7109375" style="47" customWidth="1"/>
    <col min="6667" max="6667" width="15.28515625" style="47" customWidth="1"/>
    <col min="6668" max="6677" width="8.85546875" style="47"/>
    <col min="6678" max="6678" width="11.7109375" style="47" customWidth="1"/>
    <col min="6679" max="6912" width="8.85546875" style="47"/>
    <col min="6913" max="6913" width="33" style="47" customWidth="1"/>
    <col min="6914" max="6914" width="13.140625" style="47" customWidth="1"/>
    <col min="6915" max="6917" width="10.42578125" style="47" customWidth="1"/>
    <col min="6918" max="6918" width="12.28515625" style="47" customWidth="1"/>
    <col min="6919" max="6919" width="13.42578125" style="47" customWidth="1"/>
    <col min="6920" max="6921" width="10.42578125" style="47" customWidth="1"/>
    <col min="6922" max="6922" width="13.7109375" style="47" customWidth="1"/>
    <col min="6923" max="6923" width="15.28515625" style="47" customWidth="1"/>
    <col min="6924" max="6933" width="8.85546875" style="47"/>
    <col min="6934" max="6934" width="11.7109375" style="47" customWidth="1"/>
    <col min="6935" max="7168" width="8.85546875" style="47"/>
    <col min="7169" max="7169" width="33" style="47" customWidth="1"/>
    <col min="7170" max="7170" width="13.140625" style="47" customWidth="1"/>
    <col min="7171" max="7173" width="10.42578125" style="47" customWidth="1"/>
    <col min="7174" max="7174" width="12.28515625" style="47" customWidth="1"/>
    <col min="7175" max="7175" width="13.42578125" style="47" customWidth="1"/>
    <col min="7176" max="7177" width="10.42578125" style="47" customWidth="1"/>
    <col min="7178" max="7178" width="13.7109375" style="47" customWidth="1"/>
    <col min="7179" max="7179" width="15.28515625" style="47" customWidth="1"/>
    <col min="7180" max="7189" width="8.85546875" style="47"/>
    <col min="7190" max="7190" width="11.7109375" style="47" customWidth="1"/>
    <col min="7191" max="7424" width="8.85546875" style="47"/>
    <col min="7425" max="7425" width="33" style="47" customWidth="1"/>
    <col min="7426" max="7426" width="13.140625" style="47" customWidth="1"/>
    <col min="7427" max="7429" width="10.42578125" style="47" customWidth="1"/>
    <col min="7430" max="7430" width="12.28515625" style="47" customWidth="1"/>
    <col min="7431" max="7431" width="13.42578125" style="47" customWidth="1"/>
    <col min="7432" max="7433" width="10.42578125" style="47" customWidth="1"/>
    <col min="7434" max="7434" width="13.7109375" style="47" customWidth="1"/>
    <col min="7435" max="7435" width="15.28515625" style="47" customWidth="1"/>
    <col min="7436" max="7445" width="8.85546875" style="47"/>
    <col min="7446" max="7446" width="11.7109375" style="47" customWidth="1"/>
    <col min="7447" max="7680" width="8.85546875" style="47"/>
    <col min="7681" max="7681" width="33" style="47" customWidth="1"/>
    <col min="7682" max="7682" width="13.140625" style="47" customWidth="1"/>
    <col min="7683" max="7685" width="10.42578125" style="47" customWidth="1"/>
    <col min="7686" max="7686" width="12.28515625" style="47" customWidth="1"/>
    <col min="7687" max="7687" width="13.42578125" style="47" customWidth="1"/>
    <col min="7688" max="7689" width="10.42578125" style="47" customWidth="1"/>
    <col min="7690" max="7690" width="13.7109375" style="47" customWidth="1"/>
    <col min="7691" max="7691" width="15.28515625" style="47" customWidth="1"/>
    <col min="7692" max="7701" width="8.85546875" style="47"/>
    <col min="7702" max="7702" width="11.7109375" style="47" customWidth="1"/>
    <col min="7703" max="7936" width="8.85546875" style="47"/>
    <col min="7937" max="7937" width="33" style="47" customWidth="1"/>
    <col min="7938" max="7938" width="13.140625" style="47" customWidth="1"/>
    <col min="7939" max="7941" width="10.42578125" style="47" customWidth="1"/>
    <col min="7942" max="7942" width="12.28515625" style="47" customWidth="1"/>
    <col min="7943" max="7943" width="13.42578125" style="47" customWidth="1"/>
    <col min="7944" max="7945" width="10.42578125" style="47" customWidth="1"/>
    <col min="7946" max="7946" width="13.7109375" style="47" customWidth="1"/>
    <col min="7947" max="7947" width="15.28515625" style="47" customWidth="1"/>
    <col min="7948" max="7957" width="8.85546875" style="47"/>
    <col min="7958" max="7958" width="11.7109375" style="47" customWidth="1"/>
    <col min="7959" max="8192" width="8.85546875" style="47"/>
    <col min="8193" max="8193" width="33" style="47" customWidth="1"/>
    <col min="8194" max="8194" width="13.140625" style="47" customWidth="1"/>
    <col min="8195" max="8197" width="10.42578125" style="47" customWidth="1"/>
    <col min="8198" max="8198" width="12.28515625" style="47" customWidth="1"/>
    <col min="8199" max="8199" width="13.42578125" style="47" customWidth="1"/>
    <col min="8200" max="8201" width="10.42578125" style="47" customWidth="1"/>
    <col min="8202" max="8202" width="13.7109375" style="47" customWidth="1"/>
    <col min="8203" max="8203" width="15.28515625" style="47" customWidth="1"/>
    <col min="8204" max="8213" width="8.85546875" style="47"/>
    <col min="8214" max="8214" width="11.7109375" style="47" customWidth="1"/>
    <col min="8215" max="8448" width="8.85546875" style="47"/>
    <col min="8449" max="8449" width="33" style="47" customWidth="1"/>
    <col min="8450" max="8450" width="13.140625" style="47" customWidth="1"/>
    <col min="8451" max="8453" width="10.42578125" style="47" customWidth="1"/>
    <col min="8454" max="8454" width="12.28515625" style="47" customWidth="1"/>
    <col min="8455" max="8455" width="13.42578125" style="47" customWidth="1"/>
    <col min="8456" max="8457" width="10.42578125" style="47" customWidth="1"/>
    <col min="8458" max="8458" width="13.7109375" style="47" customWidth="1"/>
    <col min="8459" max="8459" width="15.28515625" style="47" customWidth="1"/>
    <col min="8460" max="8469" width="8.85546875" style="47"/>
    <col min="8470" max="8470" width="11.7109375" style="47" customWidth="1"/>
    <col min="8471" max="8704" width="8.85546875" style="47"/>
    <col min="8705" max="8705" width="33" style="47" customWidth="1"/>
    <col min="8706" max="8706" width="13.140625" style="47" customWidth="1"/>
    <col min="8707" max="8709" width="10.42578125" style="47" customWidth="1"/>
    <col min="8710" max="8710" width="12.28515625" style="47" customWidth="1"/>
    <col min="8711" max="8711" width="13.42578125" style="47" customWidth="1"/>
    <col min="8712" max="8713" width="10.42578125" style="47" customWidth="1"/>
    <col min="8714" max="8714" width="13.7109375" style="47" customWidth="1"/>
    <col min="8715" max="8715" width="15.28515625" style="47" customWidth="1"/>
    <col min="8716" max="8725" width="8.85546875" style="47"/>
    <col min="8726" max="8726" width="11.7109375" style="47" customWidth="1"/>
    <col min="8727" max="8960" width="8.85546875" style="47"/>
    <col min="8961" max="8961" width="33" style="47" customWidth="1"/>
    <col min="8962" max="8962" width="13.140625" style="47" customWidth="1"/>
    <col min="8963" max="8965" width="10.42578125" style="47" customWidth="1"/>
    <col min="8966" max="8966" width="12.28515625" style="47" customWidth="1"/>
    <col min="8967" max="8967" width="13.42578125" style="47" customWidth="1"/>
    <col min="8968" max="8969" width="10.42578125" style="47" customWidth="1"/>
    <col min="8970" max="8970" width="13.7109375" style="47" customWidth="1"/>
    <col min="8971" max="8971" width="15.28515625" style="47" customWidth="1"/>
    <col min="8972" max="8981" width="8.85546875" style="47"/>
    <col min="8982" max="8982" width="11.7109375" style="47" customWidth="1"/>
    <col min="8983" max="9216" width="8.85546875" style="47"/>
    <col min="9217" max="9217" width="33" style="47" customWidth="1"/>
    <col min="9218" max="9218" width="13.140625" style="47" customWidth="1"/>
    <col min="9219" max="9221" width="10.42578125" style="47" customWidth="1"/>
    <col min="9222" max="9222" width="12.28515625" style="47" customWidth="1"/>
    <col min="9223" max="9223" width="13.42578125" style="47" customWidth="1"/>
    <col min="9224" max="9225" width="10.42578125" style="47" customWidth="1"/>
    <col min="9226" max="9226" width="13.7109375" style="47" customWidth="1"/>
    <col min="9227" max="9227" width="15.28515625" style="47" customWidth="1"/>
    <col min="9228" max="9237" width="8.85546875" style="47"/>
    <col min="9238" max="9238" width="11.7109375" style="47" customWidth="1"/>
    <col min="9239" max="9472" width="8.85546875" style="47"/>
    <col min="9473" max="9473" width="33" style="47" customWidth="1"/>
    <col min="9474" max="9474" width="13.140625" style="47" customWidth="1"/>
    <col min="9475" max="9477" width="10.42578125" style="47" customWidth="1"/>
    <col min="9478" max="9478" width="12.28515625" style="47" customWidth="1"/>
    <col min="9479" max="9479" width="13.42578125" style="47" customWidth="1"/>
    <col min="9480" max="9481" width="10.42578125" style="47" customWidth="1"/>
    <col min="9482" max="9482" width="13.7109375" style="47" customWidth="1"/>
    <col min="9483" max="9483" width="15.28515625" style="47" customWidth="1"/>
    <col min="9484" max="9493" width="8.85546875" style="47"/>
    <col min="9494" max="9494" width="11.7109375" style="47" customWidth="1"/>
    <col min="9495" max="9728" width="8.85546875" style="47"/>
    <col min="9729" max="9729" width="33" style="47" customWidth="1"/>
    <col min="9730" max="9730" width="13.140625" style="47" customWidth="1"/>
    <col min="9731" max="9733" width="10.42578125" style="47" customWidth="1"/>
    <col min="9734" max="9734" width="12.28515625" style="47" customWidth="1"/>
    <col min="9735" max="9735" width="13.42578125" style="47" customWidth="1"/>
    <col min="9736" max="9737" width="10.42578125" style="47" customWidth="1"/>
    <col min="9738" max="9738" width="13.7109375" style="47" customWidth="1"/>
    <col min="9739" max="9739" width="15.28515625" style="47" customWidth="1"/>
    <col min="9740" max="9749" width="8.85546875" style="47"/>
    <col min="9750" max="9750" width="11.7109375" style="47" customWidth="1"/>
    <col min="9751" max="9984" width="8.85546875" style="47"/>
    <col min="9985" max="9985" width="33" style="47" customWidth="1"/>
    <col min="9986" max="9986" width="13.140625" style="47" customWidth="1"/>
    <col min="9987" max="9989" width="10.42578125" style="47" customWidth="1"/>
    <col min="9990" max="9990" width="12.28515625" style="47" customWidth="1"/>
    <col min="9991" max="9991" width="13.42578125" style="47" customWidth="1"/>
    <col min="9992" max="9993" width="10.42578125" style="47" customWidth="1"/>
    <col min="9994" max="9994" width="13.7109375" style="47" customWidth="1"/>
    <col min="9995" max="9995" width="15.28515625" style="47" customWidth="1"/>
    <col min="9996" max="10005" width="8.85546875" style="47"/>
    <col min="10006" max="10006" width="11.7109375" style="47" customWidth="1"/>
    <col min="10007" max="10240" width="8.85546875" style="47"/>
    <col min="10241" max="10241" width="33" style="47" customWidth="1"/>
    <col min="10242" max="10242" width="13.140625" style="47" customWidth="1"/>
    <col min="10243" max="10245" width="10.42578125" style="47" customWidth="1"/>
    <col min="10246" max="10246" width="12.28515625" style="47" customWidth="1"/>
    <col min="10247" max="10247" width="13.42578125" style="47" customWidth="1"/>
    <col min="10248" max="10249" width="10.42578125" style="47" customWidth="1"/>
    <col min="10250" max="10250" width="13.7109375" style="47" customWidth="1"/>
    <col min="10251" max="10251" width="15.28515625" style="47" customWidth="1"/>
    <col min="10252" max="10261" width="8.85546875" style="47"/>
    <col min="10262" max="10262" width="11.7109375" style="47" customWidth="1"/>
    <col min="10263" max="10496" width="8.85546875" style="47"/>
    <col min="10497" max="10497" width="33" style="47" customWidth="1"/>
    <col min="10498" max="10498" width="13.140625" style="47" customWidth="1"/>
    <col min="10499" max="10501" width="10.42578125" style="47" customWidth="1"/>
    <col min="10502" max="10502" width="12.28515625" style="47" customWidth="1"/>
    <col min="10503" max="10503" width="13.42578125" style="47" customWidth="1"/>
    <col min="10504" max="10505" width="10.42578125" style="47" customWidth="1"/>
    <col min="10506" max="10506" width="13.7109375" style="47" customWidth="1"/>
    <col min="10507" max="10507" width="15.28515625" style="47" customWidth="1"/>
    <col min="10508" max="10517" width="8.85546875" style="47"/>
    <col min="10518" max="10518" width="11.7109375" style="47" customWidth="1"/>
    <col min="10519" max="10752" width="8.85546875" style="47"/>
    <col min="10753" max="10753" width="33" style="47" customWidth="1"/>
    <col min="10754" max="10754" width="13.140625" style="47" customWidth="1"/>
    <col min="10755" max="10757" width="10.42578125" style="47" customWidth="1"/>
    <col min="10758" max="10758" width="12.28515625" style="47" customWidth="1"/>
    <col min="10759" max="10759" width="13.42578125" style="47" customWidth="1"/>
    <col min="10760" max="10761" width="10.42578125" style="47" customWidth="1"/>
    <col min="10762" max="10762" width="13.7109375" style="47" customWidth="1"/>
    <col min="10763" max="10763" width="15.28515625" style="47" customWidth="1"/>
    <col min="10764" max="10773" width="8.85546875" style="47"/>
    <col min="10774" max="10774" width="11.7109375" style="47" customWidth="1"/>
    <col min="10775" max="11008" width="8.85546875" style="47"/>
    <col min="11009" max="11009" width="33" style="47" customWidth="1"/>
    <col min="11010" max="11010" width="13.140625" style="47" customWidth="1"/>
    <col min="11011" max="11013" width="10.42578125" style="47" customWidth="1"/>
    <col min="11014" max="11014" width="12.28515625" style="47" customWidth="1"/>
    <col min="11015" max="11015" width="13.42578125" style="47" customWidth="1"/>
    <col min="11016" max="11017" width="10.42578125" style="47" customWidth="1"/>
    <col min="11018" max="11018" width="13.7109375" style="47" customWidth="1"/>
    <col min="11019" max="11019" width="15.28515625" style="47" customWidth="1"/>
    <col min="11020" max="11029" width="8.85546875" style="47"/>
    <col min="11030" max="11030" width="11.7109375" style="47" customWidth="1"/>
    <col min="11031" max="11264" width="8.85546875" style="47"/>
    <col min="11265" max="11265" width="33" style="47" customWidth="1"/>
    <col min="11266" max="11266" width="13.140625" style="47" customWidth="1"/>
    <col min="11267" max="11269" width="10.42578125" style="47" customWidth="1"/>
    <col min="11270" max="11270" width="12.28515625" style="47" customWidth="1"/>
    <col min="11271" max="11271" width="13.42578125" style="47" customWidth="1"/>
    <col min="11272" max="11273" width="10.42578125" style="47" customWidth="1"/>
    <col min="11274" max="11274" width="13.7109375" style="47" customWidth="1"/>
    <col min="11275" max="11275" width="15.28515625" style="47" customWidth="1"/>
    <col min="11276" max="11285" width="8.85546875" style="47"/>
    <col min="11286" max="11286" width="11.7109375" style="47" customWidth="1"/>
    <col min="11287" max="11520" width="8.85546875" style="47"/>
    <col min="11521" max="11521" width="33" style="47" customWidth="1"/>
    <col min="11522" max="11522" width="13.140625" style="47" customWidth="1"/>
    <col min="11523" max="11525" width="10.42578125" style="47" customWidth="1"/>
    <col min="11526" max="11526" width="12.28515625" style="47" customWidth="1"/>
    <col min="11527" max="11527" width="13.42578125" style="47" customWidth="1"/>
    <col min="11528" max="11529" width="10.42578125" style="47" customWidth="1"/>
    <col min="11530" max="11530" width="13.7109375" style="47" customWidth="1"/>
    <col min="11531" max="11531" width="15.28515625" style="47" customWidth="1"/>
    <col min="11532" max="11541" width="8.85546875" style="47"/>
    <col min="11542" max="11542" width="11.7109375" style="47" customWidth="1"/>
    <col min="11543" max="11776" width="8.85546875" style="47"/>
    <col min="11777" max="11777" width="33" style="47" customWidth="1"/>
    <col min="11778" max="11778" width="13.140625" style="47" customWidth="1"/>
    <col min="11779" max="11781" width="10.42578125" style="47" customWidth="1"/>
    <col min="11782" max="11782" width="12.28515625" style="47" customWidth="1"/>
    <col min="11783" max="11783" width="13.42578125" style="47" customWidth="1"/>
    <col min="11784" max="11785" width="10.42578125" style="47" customWidth="1"/>
    <col min="11786" max="11786" width="13.7109375" style="47" customWidth="1"/>
    <col min="11787" max="11787" width="15.28515625" style="47" customWidth="1"/>
    <col min="11788" max="11797" width="8.85546875" style="47"/>
    <col min="11798" max="11798" width="11.7109375" style="47" customWidth="1"/>
    <col min="11799" max="12032" width="8.85546875" style="47"/>
    <col min="12033" max="12033" width="33" style="47" customWidth="1"/>
    <col min="12034" max="12034" width="13.140625" style="47" customWidth="1"/>
    <col min="12035" max="12037" width="10.42578125" style="47" customWidth="1"/>
    <col min="12038" max="12038" width="12.28515625" style="47" customWidth="1"/>
    <col min="12039" max="12039" width="13.42578125" style="47" customWidth="1"/>
    <col min="12040" max="12041" width="10.42578125" style="47" customWidth="1"/>
    <col min="12042" max="12042" width="13.7109375" style="47" customWidth="1"/>
    <col min="12043" max="12043" width="15.28515625" style="47" customWidth="1"/>
    <col min="12044" max="12053" width="8.85546875" style="47"/>
    <col min="12054" max="12054" width="11.7109375" style="47" customWidth="1"/>
    <col min="12055" max="12288" width="8.85546875" style="47"/>
    <col min="12289" max="12289" width="33" style="47" customWidth="1"/>
    <col min="12290" max="12290" width="13.140625" style="47" customWidth="1"/>
    <col min="12291" max="12293" width="10.42578125" style="47" customWidth="1"/>
    <col min="12294" max="12294" width="12.28515625" style="47" customWidth="1"/>
    <col min="12295" max="12295" width="13.42578125" style="47" customWidth="1"/>
    <col min="12296" max="12297" width="10.42578125" style="47" customWidth="1"/>
    <col min="12298" max="12298" width="13.7109375" style="47" customWidth="1"/>
    <col min="12299" max="12299" width="15.28515625" style="47" customWidth="1"/>
    <col min="12300" max="12309" width="8.85546875" style="47"/>
    <col min="12310" max="12310" width="11.7109375" style="47" customWidth="1"/>
    <col min="12311" max="12544" width="8.85546875" style="47"/>
    <col min="12545" max="12545" width="33" style="47" customWidth="1"/>
    <col min="12546" max="12546" width="13.140625" style="47" customWidth="1"/>
    <col min="12547" max="12549" width="10.42578125" style="47" customWidth="1"/>
    <col min="12550" max="12550" width="12.28515625" style="47" customWidth="1"/>
    <col min="12551" max="12551" width="13.42578125" style="47" customWidth="1"/>
    <col min="12552" max="12553" width="10.42578125" style="47" customWidth="1"/>
    <col min="12554" max="12554" width="13.7109375" style="47" customWidth="1"/>
    <col min="12555" max="12555" width="15.28515625" style="47" customWidth="1"/>
    <col min="12556" max="12565" width="8.85546875" style="47"/>
    <col min="12566" max="12566" width="11.7109375" style="47" customWidth="1"/>
    <col min="12567" max="12800" width="8.85546875" style="47"/>
    <col min="12801" max="12801" width="33" style="47" customWidth="1"/>
    <col min="12802" max="12802" width="13.140625" style="47" customWidth="1"/>
    <col min="12803" max="12805" width="10.42578125" style="47" customWidth="1"/>
    <col min="12806" max="12806" width="12.28515625" style="47" customWidth="1"/>
    <col min="12807" max="12807" width="13.42578125" style="47" customWidth="1"/>
    <col min="12808" max="12809" width="10.42578125" style="47" customWidth="1"/>
    <col min="12810" max="12810" width="13.7109375" style="47" customWidth="1"/>
    <col min="12811" max="12811" width="15.28515625" style="47" customWidth="1"/>
    <col min="12812" max="12821" width="8.85546875" style="47"/>
    <col min="12822" max="12822" width="11.7109375" style="47" customWidth="1"/>
    <col min="12823" max="13056" width="8.85546875" style="47"/>
    <col min="13057" max="13057" width="33" style="47" customWidth="1"/>
    <col min="13058" max="13058" width="13.140625" style="47" customWidth="1"/>
    <col min="13059" max="13061" width="10.42578125" style="47" customWidth="1"/>
    <col min="13062" max="13062" width="12.28515625" style="47" customWidth="1"/>
    <col min="13063" max="13063" width="13.42578125" style="47" customWidth="1"/>
    <col min="13064" max="13065" width="10.42578125" style="47" customWidth="1"/>
    <col min="13066" max="13066" width="13.7109375" style="47" customWidth="1"/>
    <col min="13067" max="13067" width="15.28515625" style="47" customWidth="1"/>
    <col min="13068" max="13077" width="8.85546875" style="47"/>
    <col min="13078" max="13078" width="11.7109375" style="47" customWidth="1"/>
    <col min="13079" max="13312" width="8.85546875" style="47"/>
    <col min="13313" max="13313" width="33" style="47" customWidth="1"/>
    <col min="13314" max="13314" width="13.140625" style="47" customWidth="1"/>
    <col min="13315" max="13317" width="10.42578125" style="47" customWidth="1"/>
    <col min="13318" max="13318" width="12.28515625" style="47" customWidth="1"/>
    <col min="13319" max="13319" width="13.42578125" style="47" customWidth="1"/>
    <col min="13320" max="13321" width="10.42578125" style="47" customWidth="1"/>
    <col min="13322" max="13322" width="13.7109375" style="47" customWidth="1"/>
    <col min="13323" max="13323" width="15.28515625" style="47" customWidth="1"/>
    <col min="13324" max="13333" width="8.85546875" style="47"/>
    <col min="13334" max="13334" width="11.7109375" style="47" customWidth="1"/>
    <col min="13335" max="13568" width="8.85546875" style="47"/>
    <col min="13569" max="13569" width="33" style="47" customWidth="1"/>
    <col min="13570" max="13570" width="13.140625" style="47" customWidth="1"/>
    <col min="13571" max="13573" width="10.42578125" style="47" customWidth="1"/>
    <col min="13574" max="13574" width="12.28515625" style="47" customWidth="1"/>
    <col min="13575" max="13575" width="13.42578125" style="47" customWidth="1"/>
    <col min="13576" max="13577" width="10.42578125" style="47" customWidth="1"/>
    <col min="13578" max="13578" width="13.7109375" style="47" customWidth="1"/>
    <col min="13579" max="13579" width="15.28515625" style="47" customWidth="1"/>
    <col min="13580" max="13589" width="8.85546875" style="47"/>
    <col min="13590" max="13590" width="11.7109375" style="47" customWidth="1"/>
    <col min="13591" max="13824" width="8.85546875" style="47"/>
    <col min="13825" max="13825" width="33" style="47" customWidth="1"/>
    <col min="13826" max="13826" width="13.140625" style="47" customWidth="1"/>
    <col min="13827" max="13829" width="10.42578125" style="47" customWidth="1"/>
    <col min="13830" max="13830" width="12.28515625" style="47" customWidth="1"/>
    <col min="13831" max="13831" width="13.42578125" style="47" customWidth="1"/>
    <col min="13832" max="13833" width="10.42578125" style="47" customWidth="1"/>
    <col min="13834" max="13834" width="13.7109375" style="47" customWidth="1"/>
    <col min="13835" max="13835" width="15.28515625" style="47" customWidth="1"/>
    <col min="13836" max="13845" width="8.85546875" style="47"/>
    <col min="13846" max="13846" width="11.7109375" style="47" customWidth="1"/>
    <col min="13847" max="14080" width="8.85546875" style="47"/>
    <col min="14081" max="14081" width="33" style="47" customWidth="1"/>
    <col min="14082" max="14082" width="13.140625" style="47" customWidth="1"/>
    <col min="14083" max="14085" width="10.42578125" style="47" customWidth="1"/>
    <col min="14086" max="14086" width="12.28515625" style="47" customWidth="1"/>
    <col min="14087" max="14087" width="13.42578125" style="47" customWidth="1"/>
    <col min="14088" max="14089" width="10.42578125" style="47" customWidth="1"/>
    <col min="14090" max="14090" width="13.7109375" style="47" customWidth="1"/>
    <col min="14091" max="14091" width="15.28515625" style="47" customWidth="1"/>
    <col min="14092" max="14101" width="8.85546875" style="47"/>
    <col min="14102" max="14102" width="11.7109375" style="47" customWidth="1"/>
    <col min="14103" max="14336" width="8.85546875" style="47"/>
    <col min="14337" max="14337" width="33" style="47" customWidth="1"/>
    <col min="14338" max="14338" width="13.140625" style="47" customWidth="1"/>
    <col min="14339" max="14341" width="10.42578125" style="47" customWidth="1"/>
    <col min="14342" max="14342" width="12.28515625" style="47" customWidth="1"/>
    <col min="14343" max="14343" width="13.42578125" style="47" customWidth="1"/>
    <col min="14344" max="14345" width="10.42578125" style="47" customWidth="1"/>
    <col min="14346" max="14346" width="13.7109375" style="47" customWidth="1"/>
    <col min="14347" max="14347" width="15.28515625" style="47" customWidth="1"/>
    <col min="14348" max="14357" width="8.85546875" style="47"/>
    <col min="14358" max="14358" width="11.7109375" style="47" customWidth="1"/>
    <col min="14359" max="14592" width="8.85546875" style="47"/>
    <col min="14593" max="14593" width="33" style="47" customWidth="1"/>
    <col min="14594" max="14594" width="13.140625" style="47" customWidth="1"/>
    <col min="14595" max="14597" width="10.42578125" style="47" customWidth="1"/>
    <col min="14598" max="14598" width="12.28515625" style="47" customWidth="1"/>
    <col min="14599" max="14599" width="13.42578125" style="47" customWidth="1"/>
    <col min="14600" max="14601" width="10.42578125" style="47" customWidth="1"/>
    <col min="14602" max="14602" width="13.7109375" style="47" customWidth="1"/>
    <col min="14603" max="14603" width="15.28515625" style="47" customWidth="1"/>
    <col min="14604" max="14613" width="8.85546875" style="47"/>
    <col min="14614" max="14614" width="11.7109375" style="47" customWidth="1"/>
    <col min="14615" max="14848" width="8.85546875" style="47"/>
    <col min="14849" max="14849" width="33" style="47" customWidth="1"/>
    <col min="14850" max="14850" width="13.140625" style="47" customWidth="1"/>
    <col min="14851" max="14853" width="10.42578125" style="47" customWidth="1"/>
    <col min="14854" max="14854" width="12.28515625" style="47" customWidth="1"/>
    <col min="14855" max="14855" width="13.42578125" style="47" customWidth="1"/>
    <col min="14856" max="14857" width="10.42578125" style="47" customWidth="1"/>
    <col min="14858" max="14858" width="13.7109375" style="47" customWidth="1"/>
    <col min="14859" max="14859" width="15.28515625" style="47" customWidth="1"/>
    <col min="14860" max="14869" width="8.85546875" style="47"/>
    <col min="14870" max="14870" width="11.7109375" style="47" customWidth="1"/>
    <col min="14871" max="15104" width="8.85546875" style="47"/>
    <col min="15105" max="15105" width="33" style="47" customWidth="1"/>
    <col min="15106" max="15106" width="13.140625" style="47" customWidth="1"/>
    <col min="15107" max="15109" width="10.42578125" style="47" customWidth="1"/>
    <col min="15110" max="15110" width="12.28515625" style="47" customWidth="1"/>
    <col min="15111" max="15111" width="13.42578125" style="47" customWidth="1"/>
    <col min="15112" max="15113" width="10.42578125" style="47" customWidth="1"/>
    <col min="15114" max="15114" width="13.7109375" style="47" customWidth="1"/>
    <col min="15115" max="15115" width="15.28515625" style="47" customWidth="1"/>
    <col min="15116" max="15125" width="8.85546875" style="47"/>
    <col min="15126" max="15126" width="11.7109375" style="47" customWidth="1"/>
    <col min="15127" max="15360" width="8.85546875" style="47"/>
    <col min="15361" max="15361" width="33" style="47" customWidth="1"/>
    <col min="15362" max="15362" width="13.140625" style="47" customWidth="1"/>
    <col min="15363" max="15365" width="10.42578125" style="47" customWidth="1"/>
    <col min="15366" max="15366" width="12.28515625" style="47" customWidth="1"/>
    <col min="15367" max="15367" width="13.42578125" style="47" customWidth="1"/>
    <col min="15368" max="15369" width="10.42578125" style="47" customWidth="1"/>
    <col min="15370" max="15370" width="13.7109375" style="47" customWidth="1"/>
    <col min="15371" max="15371" width="15.28515625" style="47" customWidth="1"/>
    <col min="15372" max="15381" width="8.85546875" style="47"/>
    <col min="15382" max="15382" width="11.7109375" style="47" customWidth="1"/>
    <col min="15383" max="15616" width="8.85546875" style="47"/>
    <col min="15617" max="15617" width="33" style="47" customWidth="1"/>
    <col min="15618" max="15618" width="13.140625" style="47" customWidth="1"/>
    <col min="15619" max="15621" width="10.42578125" style="47" customWidth="1"/>
    <col min="15622" max="15622" width="12.28515625" style="47" customWidth="1"/>
    <col min="15623" max="15623" width="13.42578125" style="47" customWidth="1"/>
    <col min="15624" max="15625" width="10.42578125" style="47" customWidth="1"/>
    <col min="15626" max="15626" width="13.7109375" style="47" customWidth="1"/>
    <col min="15627" max="15627" width="15.28515625" style="47" customWidth="1"/>
    <col min="15628" max="15637" width="8.85546875" style="47"/>
    <col min="15638" max="15638" width="11.7109375" style="47" customWidth="1"/>
    <col min="15639" max="15872" width="8.85546875" style="47"/>
    <col min="15873" max="15873" width="33" style="47" customWidth="1"/>
    <col min="15874" max="15874" width="13.140625" style="47" customWidth="1"/>
    <col min="15875" max="15877" width="10.42578125" style="47" customWidth="1"/>
    <col min="15878" max="15878" width="12.28515625" style="47" customWidth="1"/>
    <col min="15879" max="15879" width="13.42578125" style="47" customWidth="1"/>
    <col min="15880" max="15881" width="10.42578125" style="47" customWidth="1"/>
    <col min="15882" max="15882" width="13.7109375" style="47" customWidth="1"/>
    <col min="15883" max="15883" width="15.28515625" style="47" customWidth="1"/>
    <col min="15884" max="15893" width="8.85546875" style="47"/>
    <col min="15894" max="15894" width="11.7109375" style="47" customWidth="1"/>
    <col min="15895" max="16128" width="8.85546875" style="47"/>
    <col min="16129" max="16129" width="33" style="47" customWidth="1"/>
    <col min="16130" max="16130" width="13.140625" style="47" customWidth="1"/>
    <col min="16131" max="16133" width="10.42578125" style="47" customWidth="1"/>
    <col min="16134" max="16134" width="12.28515625" style="47" customWidth="1"/>
    <col min="16135" max="16135" width="13.42578125" style="47" customWidth="1"/>
    <col min="16136" max="16137" width="10.42578125" style="47" customWidth="1"/>
    <col min="16138" max="16138" width="13.7109375" style="47" customWidth="1"/>
    <col min="16139" max="16139" width="15.28515625" style="47" customWidth="1"/>
    <col min="16140" max="16149" width="8.85546875" style="47"/>
    <col min="16150" max="16150" width="11.7109375" style="47" customWidth="1"/>
    <col min="16151" max="16384" width="8.85546875" style="47"/>
  </cols>
  <sheetData>
    <row r="5" spans="1:253" ht="15.75">
      <c r="A5" s="56" t="s">
        <v>58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143" t="s">
        <v>1</v>
      </c>
      <c r="M5" s="143"/>
      <c r="N5" s="143"/>
      <c r="O5" s="143"/>
      <c r="P5" s="143"/>
      <c r="Q5" s="143"/>
      <c r="R5" s="143"/>
      <c r="S5" s="143"/>
      <c r="T5" s="143"/>
      <c r="U5" s="143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</row>
    <row r="6" spans="1:253" ht="21.75">
      <c r="A6" s="36" t="s">
        <v>59</v>
      </c>
      <c r="B6" s="57">
        <v>39447</v>
      </c>
      <c r="C6" s="57">
        <v>39813</v>
      </c>
      <c r="D6" s="57">
        <v>40178</v>
      </c>
      <c r="E6" s="57">
        <v>40543</v>
      </c>
      <c r="F6" s="57">
        <v>40908</v>
      </c>
      <c r="G6" s="57">
        <v>41274</v>
      </c>
      <c r="H6" s="57">
        <v>41639</v>
      </c>
      <c r="I6" s="57">
        <v>42004</v>
      </c>
      <c r="J6" s="57">
        <v>42369</v>
      </c>
      <c r="K6" s="57">
        <v>42735</v>
      </c>
      <c r="L6" s="54">
        <v>2017</v>
      </c>
      <c r="M6" s="54">
        <v>2018</v>
      </c>
      <c r="N6" s="54">
        <v>2019</v>
      </c>
      <c r="O6" s="54">
        <v>2020</v>
      </c>
      <c r="P6" s="54">
        <v>2021</v>
      </c>
      <c r="Q6" s="54">
        <v>2022</v>
      </c>
      <c r="R6" s="54">
        <v>2023</v>
      </c>
      <c r="S6" s="54">
        <v>2024</v>
      </c>
      <c r="T6" s="54">
        <v>2025</v>
      </c>
      <c r="U6" s="54">
        <v>2026</v>
      </c>
    </row>
    <row r="7" spans="1:253">
      <c r="A7" s="37" t="s">
        <v>13</v>
      </c>
      <c r="B7" s="38" t="s">
        <v>14</v>
      </c>
      <c r="C7" s="38" t="s">
        <v>14</v>
      </c>
      <c r="D7" s="38" t="s">
        <v>14</v>
      </c>
      <c r="E7" s="38" t="s">
        <v>14</v>
      </c>
      <c r="F7" s="38" t="s">
        <v>14</v>
      </c>
      <c r="G7" s="38" t="s">
        <v>14</v>
      </c>
      <c r="H7" s="38" t="s">
        <v>14</v>
      </c>
      <c r="I7" s="38" t="s">
        <v>14</v>
      </c>
      <c r="J7" s="38" t="s">
        <v>14</v>
      </c>
      <c r="K7" s="38" t="s">
        <v>14</v>
      </c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1:253">
      <c r="A8" s="39" t="s">
        <v>60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76"/>
      <c r="M8" s="76"/>
      <c r="N8" s="76"/>
      <c r="O8" s="76"/>
      <c r="P8" s="76"/>
      <c r="Q8" s="76"/>
      <c r="R8" s="76"/>
      <c r="S8" s="76"/>
      <c r="T8" s="76"/>
      <c r="U8" s="71"/>
    </row>
    <row r="9" spans="1:253">
      <c r="A9" s="41" t="s">
        <v>61</v>
      </c>
      <c r="B9" s="42">
        <v>378.1</v>
      </c>
      <c r="C9" s="42">
        <v>117.6</v>
      </c>
      <c r="D9" s="42">
        <v>679.1</v>
      </c>
      <c r="E9" s="42">
        <v>361</v>
      </c>
      <c r="F9" s="42">
        <v>47</v>
      </c>
      <c r="G9" s="42">
        <v>333</v>
      </c>
      <c r="H9" s="42">
        <v>476</v>
      </c>
      <c r="I9" s="42">
        <v>226</v>
      </c>
      <c r="J9" s="42">
        <v>650</v>
      </c>
      <c r="K9" s="42">
        <v>164</v>
      </c>
      <c r="L9" s="77">
        <f ca="1">K9+'Cash Flow - DCF VALUATION'!L56</f>
        <v>698.49625965459836</v>
      </c>
      <c r="M9" s="77">
        <f ca="1">L9+'Cash Flow - DCF VALUATION'!M56</f>
        <v>1271.8234495079787</v>
      </c>
      <c r="N9" s="77">
        <f ca="1">M9+'Cash Flow - DCF VALUATION'!N56</f>
        <v>1891.5751098303176</v>
      </c>
      <c r="O9" s="77">
        <f ca="1">N9+'Cash Flow - DCF VALUATION'!O56</f>
        <v>2560.2902942538144</v>
      </c>
      <c r="P9" s="77">
        <f ca="1">O9+'Cash Flow - DCF VALUATION'!P56</f>
        <v>3280.6372880155677</v>
      </c>
      <c r="Q9" s="77">
        <f ca="1">P9+'Cash Flow - DCF VALUATION'!Q56</f>
        <v>4055.4203540719604</v>
      </c>
      <c r="R9" s="77">
        <f ca="1">Q9+'Cash Flow - DCF VALUATION'!R56</f>
        <v>4887.5868128022194</v>
      </c>
      <c r="S9" s="77">
        <f ca="1">R9+'Cash Flow - DCF VALUATION'!S56</f>
        <v>5780.2344716620537</v>
      </c>
      <c r="T9" s="77">
        <f ca="1">S9+'Cash Flow - DCF VALUATION'!T56</f>
        <v>6736.6194218994533</v>
      </c>
      <c r="U9" s="77">
        <f ca="1">T9+'Cash Flow - DCF VALUATION'!U56</f>
        <v>7760.1642202281546</v>
      </c>
    </row>
    <row r="10" spans="1:253">
      <c r="A10" s="39" t="s">
        <v>62</v>
      </c>
      <c r="B10" s="43">
        <v>378.1</v>
      </c>
      <c r="C10" s="43">
        <v>117.6</v>
      </c>
      <c r="D10" s="43">
        <v>679.1</v>
      </c>
      <c r="E10" s="43">
        <v>361</v>
      </c>
      <c r="F10" s="43">
        <v>47</v>
      </c>
      <c r="G10" s="43">
        <v>333</v>
      </c>
      <c r="H10" s="43">
        <v>476</v>
      </c>
      <c r="I10" s="43">
        <v>226</v>
      </c>
      <c r="J10" s="43">
        <v>650</v>
      </c>
      <c r="K10" s="43">
        <v>164</v>
      </c>
      <c r="L10" s="75">
        <f ca="1">L9</f>
        <v>698.49625965459836</v>
      </c>
      <c r="M10" s="75">
        <f t="shared" ref="M10:U10" ca="1" si="0">M9</f>
        <v>1271.8234495079787</v>
      </c>
      <c r="N10" s="75">
        <f t="shared" ca="1" si="0"/>
        <v>1891.5751098303176</v>
      </c>
      <c r="O10" s="75">
        <f t="shared" ca="1" si="0"/>
        <v>2560.2902942538144</v>
      </c>
      <c r="P10" s="75">
        <f t="shared" ca="1" si="0"/>
        <v>3280.6372880155677</v>
      </c>
      <c r="Q10" s="75">
        <f t="shared" ca="1" si="0"/>
        <v>4055.4203540719604</v>
      </c>
      <c r="R10" s="75">
        <f t="shared" ca="1" si="0"/>
        <v>4887.5868128022194</v>
      </c>
      <c r="S10" s="75">
        <f t="shared" ca="1" si="0"/>
        <v>5780.2344716620537</v>
      </c>
      <c r="T10" s="75">
        <f t="shared" ca="1" si="0"/>
        <v>6736.6194218994533</v>
      </c>
      <c r="U10" s="75">
        <f t="shared" ca="1" si="0"/>
        <v>7760.1642202281546</v>
      </c>
    </row>
    <row r="11" spans="1:253">
      <c r="A11" s="41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1:253">
      <c r="A12" s="58" t="s">
        <v>63</v>
      </c>
      <c r="B12" s="42">
        <v>500.2</v>
      </c>
      <c r="C12" s="42">
        <v>432.3</v>
      </c>
      <c r="D12" s="42">
        <v>285.8</v>
      </c>
      <c r="E12" s="42">
        <v>297</v>
      </c>
      <c r="F12" s="42">
        <v>346</v>
      </c>
      <c r="G12" s="42">
        <v>391</v>
      </c>
      <c r="H12" s="42">
        <v>388</v>
      </c>
      <c r="I12" s="42">
        <v>513</v>
      </c>
      <c r="J12" s="42">
        <v>460</v>
      </c>
      <c r="K12" s="62">
        <v>429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spans="1:253">
      <c r="A13" s="58" t="s">
        <v>64</v>
      </c>
      <c r="B13" s="42">
        <v>0</v>
      </c>
      <c r="C13" s="42">
        <v>215.1</v>
      </c>
      <c r="D13" s="42">
        <v>155.19999999999999</v>
      </c>
      <c r="E13" s="42">
        <v>162</v>
      </c>
      <c r="F13" s="42">
        <v>172</v>
      </c>
      <c r="G13" s="42">
        <v>155</v>
      </c>
      <c r="H13" s="42">
        <v>192</v>
      </c>
      <c r="I13" s="42">
        <v>189</v>
      </c>
      <c r="J13" s="42">
        <v>185</v>
      </c>
      <c r="K13" s="62">
        <v>162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spans="1:253">
      <c r="A14" s="58" t="s">
        <v>65</v>
      </c>
      <c r="B14" s="42">
        <v>0</v>
      </c>
      <c r="C14" s="42">
        <v>0</v>
      </c>
      <c r="D14" s="42">
        <v>214.1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5" spans="1:253">
      <c r="A15" s="59" t="s">
        <v>66</v>
      </c>
      <c r="B15" s="43">
        <v>500.2</v>
      </c>
      <c r="C15" s="43">
        <v>647.4</v>
      </c>
      <c r="D15" s="43">
        <v>655.1</v>
      </c>
      <c r="E15" s="43">
        <v>459</v>
      </c>
      <c r="F15" s="43">
        <v>518</v>
      </c>
      <c r="G15" s="43">
        <v>546</v>
      </c>
      <c r="H15" s="43">
        <v>580</v>
      </c>
      <c r="I15" s="43">
        <v>702</v>
      </c>
      <c r="J15" s="43">
        <v>645</v>
      </c>
      <c r="K15" s="43">
        <v>591</v>
      </c>
      <c r="L15" s="75">
        <f>'Income Statement'!L10*'Balance Sheet'!$B$66</f>
        <v>642.57333731700817</v>
      </c>
      <c r="M15" s="75">
        <f>'Income Statement'!M10*'Balance Sheet'!$B$66</f>
        <v>679.6546291579258</v>
      </c>
      <c r="N15" s="75">
        <f>'Income Statement'!N10*'Balance Sheet'!$B$66</f>
        <v>718.87578912709864</v>
      </c>
      <c r="O15" s="75">
        <f>'Income Statement'!O10*'Balance Sheet'!$B$66</f>
        <v>760.36030363449242</v>
      </c>
      <c r="P15" s="75">
        <f>'Income Statement'!P10*'Balance Sheet'!$B$66</f>
        <v>804.23878518034201</v>
      </c>
      <c r="Q15" s="75">
        <f>'Income Statement'!Q10*'Balance Sheet'!$B$66</f>
        <v>850.64938358390566</v>
      </c>
      <c r="R15" s="75">
        <f>'Income Statement'!R10*'Balance Sheet'!$B$66</f>
        <v>899.73822094319678</v>
      </c>
      <c r="S15" s="75">
        <f>'Income Statement'!S10*'Balance Sheet'!$B$66</f>
        <v>951.65985169514784</v>
      </c>
      <c r="T15" s="75">
        <f>'Income Statement'!T10*'Balance Sheet'!$B$66</f>
        <v>1006.5777492246912</v>
      </c>
      <c r="U15" s="75">
        <f>'Income Statement'!U10*'Balance Sheet'!$B$66</f>
        <v>1064.6648205548242</v>
      </c>
      <c r="V15" s="81"/>
    </row>
    <row r="16" spans="1:253" s="83" customFormat="1">
      <c r="A16" s="58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82"/>
    </row>
    <row r="17" spans="1:22">
      <c r="A17" s="58" t="s">
        <v>67</v>
      </c>
      <c r="B17" s="42">
        <v>179.5</v>
      </c>
      <c r="C17" s="42">
        <v>215.8</v>
      </c>
      <c r="D17" s="42">
        <v>132.69999999999999</v>
      </c>
      <c r="E17" s="42">
        <v>114</v>
      </c>
      <c r="F17" s="42">
        <v>138</v>
      </c>
      <c r="G17" s="42">
        <v>136</v>
      </c>
      <c r="H17" s="42">
        <v>165</v>
      </c>
      <c r="I17" s="42">
        <v>177</v>
      </c>
      <c r="J17" s="42">
        <v>188</v>
      </c>
      <c r="K17" s="42">
        <v>184</v>
      </c>
      <c r="L17" s="77">
        <f>'Income Statement'!L10*'Balance Sheet'!$B$71</f>
        <v>178.04786657607389</v>
      </c>
      <c r="M17" s="77">
        <f>'Income Statement'!M10*'Balance Sheet'!$B$71</f>
        <v>188.32256133656159</v>
      </c>
      <c r="N17" s="77">
        <f>'Income Statement'!N10*'Balance Sheet'!$B$71</f>
        <v>199.19018290067422</v>
      </c>
      <c r="O17" s="77">
        <f>'Income Statement'!O10*'Balance Sheet'!$B$71</f>
        <v>210.68494758360677</v>
      </c>
      <c r="P17" s="77">
        <f>'Income Statement'!P10*'Balance Sheet'!$B$71</f>
        <v>222.84304623808291</v>
      </c>
      <c r="Q17" s="77">
        <f>'Income Statement'!Q10*'Balance Sheet'!$B$71</f>
        <v>235.70275819995163</v>
      </c>
      <c r="R17" s="77">
        <f>'Income Statement'!R10*'Balance Sheet'!$B$71</f>
        <v>249.3045718092981</v>
      </c>
      <c r="S17" s="77">
        <f>'Income Statement'!S10*'Balance Sheet'!$B$71</f>
        <v>263.69131188652426</v>
      </c>
      <c r="T17" s="77">
        <f>'Income Statement'!T10*'Balance Sheet'!$B$71</f>
        <v>278.90827456475427</v>
      </c>
      <c r="U17" s="77">
        <f>'Income Statement'!U10*'Balance Sheet'!$B$71</f>
        <v>295.00336990307852</v>
      </c>
      <c r="V17" s="81"/>
    </row>
    <row r="18" spans="1:22">
      <c r="A18" s="58" t="s">
        <v>68</v>
      </c>
      <c r="B18" s="42">
        <v>67.3</v>
      </c>
      <c r="C18" s="42">
        <v>76.5</v>
      </c>
      <c r="D18" s="42">
        <v>128.1</v>
      </c>
      <c r="E18" s="42">
        <v>222</v>
      </c>
      <c r="F18" s="42">
        <v>101</v>
      </c>
      <c r="G18" s="42">
        <v>254</v>
      </c>
      <c r="H18" s="42">
        <v>344</v>
      </c>
      <c r="I18" s="42">
        <v>0</v>
      </c>
      <c r="J18" s="42">
        <v>0</v>
      </c>
      <c r="K18" s="42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81"/>
    </row>
    <row r="19" spans="1:22">
      <c r="A19" s="58" t="s">
        <v>69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411</v>
      </c>
      <c r="I19" s="42">
        <v>0</v>
      </c>
      <c r="J19" s="42">
        <v>0</v>
      </c>
      <c r="K19" s="42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81"/>
    </row>
    <row r="20" spans="1:22">
      <c r="A20" s="58" t="s">
        <v>70</v>
      </c>
      <c r="B20" s="42">
        <v>42.6</v>
      </c>
      <c r="C20" s="42">
        <v>65.7</v>
      </c>
      <c r="D20" s="42">
        <v>46.5</v>
      </c>
      <c r="E20" s="42">
        <v>48</v>
      </c>
      <c r="F20" s="42">
        <v>52</v>
      </c>
      <c r="G20" s="42">
        <v>60</v>
      </c>
      <c r="H20" s="42">
        <v>53</v>
      </c>
      <c r="I20" s="42">
        <v>116</v>
      </c>
      <c r="J20" s="42">
        <v>54</v>
      </c>
      <c r="K20" s="42">
        <v>70</v>
      </c>
      <c r="L20" s="77">
        <f>K20</f>
        <v>70</v>
      </c>
      <c r="M20" s="77">
        <f>L20</f>
        <v>70</v>
      </c>
      <c r="N20" s="77">
        <f t="shared" ref="N20:U20" si="1">M20</f>
        <v>70</v>
      </c>
      <c r="O20" s="77">
        <f t="shared" si="1"/>
        <v>70</v>
      </c>
      <c r="P20" s="77">
        <f t="shared" si="1"/>
        <v>70</v>
      </c>
      <c r="Q20" s="77">
        <f t="shared" si="1"/>
        <v>70</v>
      </c>
      <c r="R20" s="77">
        <f t="shared" si="1"/>
        <v>70</v>
      </c>
      <c r="S20" s="77">
        <f t="shared" si="1"/>
        <v>70</v>
      </c>
      <c r="T20" s="77">
        <f t="shared" si="1"/>
        <v>70</v>
      </c>
      <c r="U20" s="77">
        <f t="shared" si="1"/>
        <v>70</v>
      </c>
      <c r="V20" s="81"/>
    </row>
    <row r="21" spans="1:22">
      <c r="A21" s="59" t="s">
        <v>71</v>
      </c>
      <c r="B21" s="43">
        <v>1167.7</v>
      </c>
      <c r="C21" s="43">
        <v>1123</v>
      </c>
      <c r="D21" s="43">
        <v>1641.5</v>
      </c>
      <c r="E21" s="43">
        <v>1204</v>
      </c>
      <c r="F21" s="43">
        <v>856</v>
      </c>
      <c r="G21" s="43">
        <v>1329</v>
      </c>
      <c r="H21" s="43">
        <v>2029</v>
      </c>
      <c r="I21" s="43">
        <v>1221</v>
      </c>
      <c r="J21" s="43">
        <v>1537</v>
      </c>
      <c r="K21" s="43">
        <v>1009</v>
      </c>
      <c r="L21" s="75">
        <f ca="1">L10+L15+SUM(L17:L20)</f>
        <v>1589.1174635476805</v>
      </c>
      <c r="M21" s="75">
        <f t="shared" ref="M21:U21" ca="1" si="2">M10+M15+SUM(M17:M20)</f>
        <v>2209.800640002466</v>
      </c>
      <c r="N21" s="75">
        <f t="shared" ca="1" si="2"/>
        <v>2879.6410818580903</v>
      </c>
      <c r="O21" s="75">
        <f t="shared" ca="1" si="2"/>
        <v>3601.335545471914</v>
      </c>
      <c r="P21" s="75">
        <f t="shared" ca="1" si="2"/>
        <v>4377.7191194339921</v>
      </c>
      <c r="Q21" s="75">
        <f t="shared" ca="1" si="2"/>
        <v>5211.7724958558183</v>
      </c>
      <c r="R21" s="75">
        <f t="shared" ca="1" si="2"/>
        <v>6106.6296055547145</v>
      </c>
      <c r="S21" s="75">
        <f t="shared" ca="1" si="2"/>
        <v>7065.5856352437258</v>
      </c>
      <c r="T21" s="75">
        <f t="shared" ca="1" si="2"/>
        <v>8092.1054456888978</v>
      </c>
      <c r="U21" s="75">
        <f t="shared" ca="1" si="2"/>
        <v>9189.8324106860582</v>
      </c>
      <c r="V21" s="81"/>
    </row>
    <row r="22" spans="1:22" s="83" customFormat="1">
      <c r="A22" s="58"/>
      <c r="B22" s="61"/>
      <c r="C22" s="84"/>
      <c r="D22" s="60"/>
      <c r="E22" s="60"/>
      <c r="F22" s="60"/>
      <c r="G22" s="60"/>
      <c r="H22" s="60"/>
      <c r="I22" s="60"/>
      <c r="J22" s="60"/>
      <c r="K22" s="60"/>
      <c r="L22" s="76"/>
      <c r="M22" s="85"/>
      <c r="N22" s="85"/>
      <c r="O22" s="85"/>
      <c r="P22" s="85"/>
      <c r="Q22" s="85"/>
      <c r="R22" s="85"/>
      <c r="S22" s="85"/>
      <c r="T22" s="85"/>
      <c r="U22" s="85"/>
      <c r="V22" s="82"/>
    </row>
    <row r="23" spans="1:22">
      <c r="A23" s="58" t="s">
        <v>72</v>
      </c>
      <c r="B23" s="42">
        <v>13784.5</v>
      </c>
      <c r="C23" s="42">
        <v>17754.2</v>
      </c>
      <c r="D23" s="42">
        <v>17361.900000000001</v>
      </c>
      <c r="E23" s="42">
        <v>17620</v>
      </c>
      <c r="F23" s="42">
        <v>18722</v>
      </c>
      <c r="G23" s="42">
        <v>19281</v>
      </c>
      <c r="H23" s="42">
        <v>19511</v>
      </c>
      <c r="I23" s="42">
        <v>20943</v>
      </c>
      <c r="J23" s="42">
        <v>23225</v>
      </c>
      <c r="K23" s="42">
        <v>23814</v>
      </c>
      <c r="L23" s="77">
        <f>K23*(1+$B$68)</f>
        <v>25254.489707293167</v>
      </c>
      <c r="M23" s="77">
        <f>L23*(1+$B$68)</f>
        <v>26782.113478448668</v>
      </c>
      <c r="N23" s="77">
        <f t="shared" ref="N23:U23" si="3">M23*(1+$B$68)</f>
        <v>28402.141982910871</v>
      </c>
      <c r="O23" s="77">
        <f t="shared" si="3"/>
        <v>30120.164708679844</v>
      </c>
      <c r="P23" s="77">
        <f t="shared" si="3"/>
        <v>31942.109247389355</v>
      </c>
      <c r="Q23" s="77">
        <f t="shared" si="3"/>
        <v>33874.261745923759</v>
      </c>
      <c r="R23" s="77">
        <f t="shared" si="3"/>
        <v>35923.288595136735</v>
      </c>
      <c r="S23" s="77">
        <f t="shared" si="3"/>
        <v>38096.259430503182</v>
      </c>
      <c r="T23" s="77">
        <f t="shared" si="3"/>
        <v>40400.671524062018</v>
      </c>
      <c r="U23" s="77">
        <f t="shared" si="3"/>
        <v>42844.475651808032</v>
      </c>
      <c r="V23" s="81"/>
    </row>
    <row r="24" spans="1:22">
      <c r="A24" s="58" t="s">
        <v>73</v>
      </c>
      <c r="B24" s="42">
        <v>-4864.8</v>
      </c>
      <c r="C24" s="42">
        <v>-5369.6</v>
      </c>
      <c r="D24" s="42">
        <v>-5383.4</v>
      </c>
      <c r="E24" s="42">
        <v>-5623</v>
      </c>
      <c r="F24" s="42">
        <v>-5970</v>
      </c>
      <c r="G24" s="42">
        <v>-6268</v>
      </c>
      <c r="H24" s="42">
        <v>-6184</v>
      </c>
      <c r="I24" s="42">
        <v>-6505</v>
      </c>
      <c r="J24" s="42">
        <v>-6952</v>
      </c>
      <c r="K24" s="42">
        <v>-7125</v>
      </c>
      <c r="L24" s="77">
        <f ca="1">K24-'Income Statement'!L17</f>
        <v>-7812.090783305187</v>
      </c>
      <c r="M24" s="77">
        <f ca="1">L24-'Income Statement'!M17</f>
        <v>-8531.0369844042689</v>
      </c>
      <c r="N24" s="77">
        <f ca="1">M24-'Income Statement'!N17</f>
        <v>-9284.1333659902921</v>
      </c>
      <c r="O24" s="77">
        <f ca="1">N24-'Income Statement'!O17</f>
        <v>-10073.799557778406</v>
      </c>
      <c r="P24" s="77">
        <f ca="1">O24-'Income Statement'!P17</f>
        <v>-10902.588137974941</v>
      </c>
      <c r="Q24" s="77">
        <f ca="1">P24-'Income Statement'!Q17</f>
        <v>-11773.193183563575</v>
      </c>
      <c r="R24" s="77">
        <f ca="1">Q24-'Income Statement'!R17</f>
        <v>-12688.459318525864</v>
      </c>
      <c r="S24" s="77">
        <f ca="1">R24-'Income Statement'!S17</f>
        <v>-13651.391290845928</v>
      </c>
      <c r="T24" s="77">
        <f ca="1">S24-'Income Statement'!T17</f>
        <v>-14665.164110987511</v>
      </c>
      <c r="U24" s="77">
        <f ca="1">T24-'Income Statement'!U17</f>
        <v>-15733.13378648226</v>
      </c>
      <c r="V24" s="81"/>
    </row>
    <row r="25" spans="1:22">
      <c r="A25" s="59" t="s">
        <v>74</v>
      </c>
      <c r="B25" s="43">
        <v>8919.7000000000007</v>
      </c>
      <c r="C25" s="43">
        <v>12384.6</v>
      </c>
      <c r="D25" s="43">
        <v>11978.5</v>
      </c>
      <c r="E25" s="43">
        <v>11997</v>
      </c>
      <c r="F25" s="43">
        <v>12752</v>
      </c>
      <c r="G25" s="43">
        <v>13013</v>
      </c>
      <c r="H25" s="43">
        <v>13327</v>
      </c>
      <c r="I25" s="43">
        <v>14438</v>
      </c>
      <c r="J25" s="43">
        <v>16273</v>
      </c>
      <c r="K25" s="43">
        <v>16689</v>
      </c>
      <c r="L25" s="75">
        <f ca="1">L23+L24</f>
        <v>17442.398923987981</v>
      </c>
      <c r="M25" s="75">
        <f t="shared" ref="M25:U25" ca="1" si="4">M23+M24</f>
        <v>18251.076494044399</v>
      </c>
      <c r="N25" s="75">
        <f t="shared" ca="1" si="4"/>
        <v>19118.008616920579</v>
      </c>
      <c r="O25" s="75">
        <f t="shared" ca="1" si="4"/>
        <v>20046.365150901438</v>
      </c>
      <c r="P25" s="75">
        <f t="shared" ca="1" si="4"/>
        <v>21039.521109414414</v>
      </c>
      <c r="Q25" s="75">
        <f t="shared" ca="1" si="4"/>
        <v>22101.068562360182</v>
      </c>
      <c r="R25" s="75">
        <f t="shared" ca="1" si="4"/>
        <v>23234.829276610872</v>
      </c>
      <c r="S25" s="75">
        <f t="shared" ca="1" si="4"/>
        <v>24444.868139657254</v>
      </c>
      <c r="T25" s="75">
        <f t="shared" ca="1" si="4"/>
        <v>25735.507413074505</v>
      </c>
      <c r="U25" s="75">
        <f t="shared" ca="1" si="4"/>
        <v>27111.341865325772</v>
      </c>
      <c r="V25" s="81"/>
    </row>
    <row r="26" spans="1:22" s="83" customFormat="1">
      <c r="A26" s="58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82"/>
    </row>
    <row r="27" spans="1:22">
      <c r="A27" s="58" t="s">
        <v>75</v>
      </c>
      <c r="B27" s="42">
        <v>1668.6</v>
      </c>
      <c r="C27" s="42">
        <v>151.1</v>
      </c>
      <c r="D27" s="42">
        <v>156.69999999999999</v>
      </c>
      <c r="E27" s="42">
        <v>145</v>
      </c>
      <c r="F27" s="42">
        <v>167</v>
      </c>
      <c r="G27" s="42">
        <v>83</v>
      </c>
      <c r="H27" s="42">
        <v>92</v>
      </c>
      <c r="I27" s="42">
        <v>112</v>
      </c>
      <c r="J27" s="42">
        <v>152</v>
      </c>
      <c r="K27" s="42">
        <v>194</v>
      </c>
      <c r="L27" s="77">
        <v>194</v>
      </c>
      <c r="M27" s="77">
        <v>194</v>
      </c>
      <c r="N27" s="77">
        <v>194</v>
      </c>
      <c r="O27" s="77">
        <v>194</v>
      </c>
      <c r="P27" s="77">
        <v>194</v>
      </c>
      <c r="Q27" s="77">
        <v>194</v>
      </c>
      <c r="R27" s="77">
        <v>194</v>
      </c>
      <c r="S27" s="77">
        <v>194</v>
      </c>
      <c r="T27" s="77">
        <v>194</v>
      </c>
      <c r="U27" s="77">
        <v>194</v>
      </c>
      <c r="V27" s="81"/>
    </row>
    <row r="28" spans="1:22">
      <c r="A28" s="58" t="s">
        <v>76</v>
      </c>
      <c r="B28" s="42">
        <v>0</v>
      </c>
      <c r="C28" s="42">
        <v>179.6</v>
      </c>
      <c r="D28" s="42">
        <v>154.9</v>
      </c>
      <c r="E28" s="42">
        <v>147</v>
      </c>
      <c r="F28" s="42">
        <v>150</v>
      </c>
      <c r="G28" s="42">
        <v>146</v>
      </c>
      <c r="H28" s="42">
        <v>150</v>
      </c>
      <c r="I28" s="42">
        <v>164</v>
      </c>
      <c r="J28" s="42">
        <v>198</v>
      </c>
      <c r="K28" s="42">
        <v>191</v>
      </c>
      <c r="L28" s="77">
        <v>191</v>
      </c>
      <c r="M28" s="77">
        <v>191</v>
      </c>
      <c r="N28" s="77">
        <v>191</v>
      </c>
      <c r="O28" s="77">
        <v>191</v>
      </c>
      <c r="P28" s="77">
        <v>191</v>
      </c>
      <c r="Q28" s="77">
        <v>191</v>
      </c>
      <c r="R28" s="77">
        <v>191</v>
      </c>
      <c r="S28" s="77">
        <v>191</v>
      </c>
      <c r="T28" s="77">
        <v>191</v>
      </c>
      <c r="U28" s="77">
        <v>191</v>
      </c>
      <c r="V28" s="81"/>
    </row>
    <row r="29" spans="1:22">
      <c r="A29" s="58" t="s">
        <v>77</v>
      </c>
      <c r="B29" s="42">
        <v>373.4</v>
      </c>
      <c r="C29" s="42">
        <v>57.6</v>
      </c>
      <c r="D29" s="42">
        <v>47.4</v>
      </c>
      <c r="E29" s="42">
        <v>43</v>
      </c>
      <c r="F29" s="42">
        <v>42</v>
      </c>
      <c r="G29" s="42">
        <v>15</v>
      </c>
      <c r="H29" s="42">
        <v>12</v>
      </c>
      <c r="I29" s="42">
        <v>12</v>
      </c>
      <c r="J29" s="42">
        <v>13</v>
      </c>
      <c r="K29" s="42">
        <v>11</v>
      </c>
      <c r="L29" s="77">
        <v>11</v>
      </c>
      <c r="M29" s="77">
        <v>11</v>
      </c>
      <c r="N29" s="77">
        <v>11</v>
      </c>
      <c r="O29" s="77">
        <v>11</v>
      </c>
      <c r="P29" s="77">
        <v>11</v>
      </c>
      <c r="Q29" s="77">
        <v>11</v>
      </c>
      <c r="R29" s="77">
        <v>11</v>
      </c>
      <c r="S29" s="77">
        <v>11</v>
      </c>
      <c r="T29" s="77">
        <v>11</v>
      </c>
      <c r="U29" s="77">
        <v>11</v>
      </c>
      <c r="V29" s="81"/>
    </row>
    <row r="30" spans="1:22">
      <c r="A30" s="41" t="s">
        <v>78</v>
      </c>
      <c r="B30" s="42">
        <v>0</v>
      </c>
      <c r="C30" s="42">
        <v>0</v>
      </c>
      <c r="D30" s="42">
        <v>47.4</v>
      </c>
      <c r="E30" s="42">
        <v>50</v>
      </c>
      <c r="F30" s="42">
        <v>47</v>
      </c>
      <c r="G30" s="42">
        <v>45</v>
      </c>
      <c r="H30" s="42">
        <v>7</v>
      </c>
      <c r="I30" s="42">
        <v>9</v>
      </c>
      <c r="J30" s="42">
        <v>6</v>
      </c>
      <c r="K30" s="42">
        <v>7</v>
      </c>
      <c r="L30" s="77">
        <v>7</v>
      </c>
      <c r="M30" s="77">
        <v>7</v>
      </c>
      <c r="N30" s="77">
        <v>7</v>
      </c>
      <c r="O30" s="77">
        <v>7</v>
      </c>
      <c r="P30" s="77">
        <v>7</v>
      </c>
      <c r="Q30" s="77">
        <v>7</v>
      </c>
      <c r="R30" s="77">
        <v>7</v>
      </c>
      <c r="S30" s="77">
        <v>7</v>
      </c>
      <c r="T30" s="77">
        <v>7</v>
      </c>
      <c r="U30" s="77">
        <v>7</v>
      </c>
      <c r="V30" s="81"/>
    </row>
    <row r="31" spans="1:22">
      <c r="A31" s="41" t="s">
        <v>79</v>
      </c>
      <c r="B31" s="42">
        <v>1235.5999999999999</v>
      </c>
      <c r="C31" s="42">
        <v>1261.4000000000001</v>
      </c>
      <c r="D31" s="42">
        <v>128.4</v>
      </c>
      <c r="E31" s="42">
        <v>90</v>
      </c>
      <c r="F31" s="42">
        <v>96</v>
      </c>
      <c r="G31" s="42">
        <v>96</v>
      </c>
      <c r="H31" s="42">
        <v>1406</v>
      </c>
      <c r="I31" s="42">
        <v>594</v>
      </c>
      <c r="J31" s="42">
        <v>1458</v>
      </c>
      <c r="K31" s="42">
        <v>1120</v>
      </c>
      <c r="L31" s="77">
        <v>1120</v>
      </c>
      <c r="M31" s="77">
        <v>1120</v>
      </c>
      <c r="N31" s="77">
        <v>1120</v>
      </c>
      <c r="O31" s="77">
        <v>1120</v>
      </c>
      <c r="P31" s="77">
        <v>1120</v>
      </c>
      <c r="Q31" s="77">
        <v>1120</v>
      </c>
      <c r="R31" s="77">
        <v>1120</v>
      </c>
      <c r="S31" s="77">
        <v>1120</v>
      </c>
      <c r="T31" s="77">
        <v>1120</v>
      </c>
      <c r="U31" s="77">
        <v>1120</v>
      </c>
      <c r="V31" s="81"/>
    </row>
    <row r="32" spans="1:22" s="87" customFormat="1">
      <c r="A32" s="67" t="s">
        <v>80</v>
      </c>
      <c r="B32" s="68">
        <v>13365</v>
      </c>
      <c r="C32" s="68">
        <v>15157.3</v>
      </c>
      <c r="D32" s="68">
        <v>14154.8</v>
      </c>
      <c r="E32" s="68">
        <v>13676</v>
      </c>
      <c r="F32" s="68">
        <v>14110</v>
      </c>
      <c r="G32" s="68">
        <v>14727</v>
      </c>
      <c r="H32" s="68">
        <v>17023</v>
      </c>
      <c r="I32" s="68">
        <v>16550</v>
      </c>
      <c r="J32" s="68">
        <v>19637</v>
      </c>
      <c r="K32" s="68">
        <v>19221</v>
      </c>
      <c r="L32" s="68">
        <f ca="1">L21+L25+SUM(L27:L31)</f>
        <v>20554.516387535663</v>
      </c>
      <c r="M32" s="68">
        <f t="shared" ref="M32:U32" ca="1" si="5">M21+M25+SUM(M27:M31)</f>
        <v>21983.877134046867</v>
      </c>
      <c r="N32" s="68">
        <f t="shared" ca="1" si="5"/>
        <v>23520.64969877867</v>
      </c>
      <c r="O32" s="68">
        <f t="shared" ca="1" si="5"/>
        <v>25170.700696373351</v>
      </c>
      <c r="P32" s="68">
        <f t="shared" ca="1" si="5"/>
        <v>26940.240228848408</v>
      </c>
      <c r="Q32" s="68">
        <f t="shared" ca="1" si="5"/>
        <v>28835.841058216</v>
      </c>
      <c r="R32" s="68">
        <f t="shared" ca="1" si="5"/>
        <v>30864.458882165585</v>
      </c>
      <c r="S32" s="68">
        <f t="shared" ca="1" si="5"/>
        <v>33033.453774900976</v>
      </c>
      <c r="T32" s="68">
        <f t="shared" ca="1" si="5"/>
        <v>35350.612858763401</v>
      </c>
      <c r="U32" s="68">
        <f t="shared" ca="1" si="5"/>
        <v>37824.174276011829</v>
      </c>
      <c r="V32" s="86"/>
    </row>
    <row r="33" spans="1:22" s="83" customFormat="1">
      <c r="A33" s="58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82"/>
    </row>
    <row r="34" spans="1:22">
      <c r="A34" s="39" t="s">
        <v>81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81"/>
    </row>
    <row r="35" spans="1:22">
      <c r="A35" s="58" t="s">
        <v>82</v>
      </c>
      <c r="B35" s="42">
        <v>920.4</v>
      </c>
      <c r="C35" s="42">
        <v>754.2</v>
      </c>
      <c r="D35" s="42">
        <v>249.3</v>
      </c>
      <c r="E35" s="42">
        <v>226</v>
      </c>
      <c r="F35" s="42">
        <v>387</v>
      </c>
      <c r="G35" s="42">
        <v>321</v>
      </c>
      <c r="H35" s="42">
        <v>358</v>
      </c>
      <c r="I35" s="42">
        <v>407</v>
      </c>
      <c r="J35" s="42">
        <v>339</v>
      </c>
      <c r="K35" s="42">
        <v>352</v>
      </c>
      <c r="L35" s="77">
        <f>'Income Statement'!L12*'Balance Sheet'!$B$69</f>
        <v>378.68699580345123</v>
      </c>
      <c r="M35" s="77">
        <f>'Income Statement'!M12*'Balance Sheet'!$B$69</f>
        <v>400.54007029667514</v>
      </c>
      <c r="N35" s="77">
        <f>'Income Statement'!N12*'Balance Sheet'!$B$69</f>
        <v>423.65423077938016</v>
      </c>
      <c r="O35" s="77">
        <f>'Income Statement'!O12*'Balance Sheet'!$B$69</f>
        <v>448.10225135359741</v>
      </c>
      <c r="P35" s="77">
        <f>'Income Statement'!P12*'Balance Sheet'!$B$69</f>
        <v>473.96110573182921</v>
      </c>
      <c r="Q35" s="77">
        <f>'Income Statement'!Q12*'Balance Sheet'!$B$69</f>
        <v>501.31220958601142</v>
      </c>
      <c r="R35" s="77">
        <f>'Income Statement'!R12*'Balance Sheet'!$B$69</f>
        <v>530.24167688182501</v>
      </c>
      <c r="S35" s="77">
        <f>'Income Statement'!S12*'Balance Sheet'!$B$69</f>
        <v>560.84059100541606</v>
      </c>
      <c r="T35" s="77">
        <f>'Income Statement'!T12*'Balance Sheet'!$B$69</f>
        <v>593.20529153615826</v>
      </c>
      <c r="U35" s="77">
        <f>'Income Statement'!U12*'Balance Sheet'!$B$69</f>
        <v>627.43767756834882</v>
      </c>
      <c r="V35" s="81"/>
    </row>
    <row r="36" spans="1:22">
      <c r="A36" s="58" t="s">
        <v>83</v>
      </c>
      <c r="B36" s="42">
        <v>58.3</v>
      </c>
      <c r="C36" s="42">
        <v>39.4</v>
      </c>
      <c r="D36" s="42">
        <v>546.29999999999995</v>
      </c>
      <c r="E36" s="42">
        <v>606</v>
      </c>
      <c r="F36" s="42">
        <v>535</v>
      </c>
      <c r="G36" s="42">
        <v>602</v>
      </c>
      <c r="H36" s="42">
        <v>590</v>
      </c>
      <c r="I36" s="42">
        <v>567</v>
      </c>
      <c r="J36" s="42">
        <v>658</v>
      </c>
      <c r="K36" s="62">
        <v>606</v>
      </c>
      <c r="L36" s="77">
        <f>K36</f>
        <v>606</v>
      </c>
      <c r="M36" s="77">
        <f>L36</f>
        <v>606</v>
      </c>
      <c r="N36" s="77">
        <f t="shared" ref="N36:U36" si="6">M36</f>
        <v>606</v>
      </c>
      <c r="O36" s="77">
        <f t="shared" si="6"/>
        <v>606</v>
      </c>
      <c r="P36" s="77">
        <f t="shared" si="6"/>
        <v>606</v>
      </c>
      <c r="Q36" s="77">
        <f t="shared" si="6"/>
        <v>606</v>
      </c>
      <c r="R36" s="77">
        <f t="shared" si="6"/>
        <v>606</v>
      </c>
      <c r="S36" s="77">
        <f t="shared" si="6"/>
        <v>606</v>
      </c>
      <c r="T36" s="77">
        <f t="shared" si="6"/>
        <v>606</v>
      </c>
      <c r="U36" s="77">
        <f t="shared" si="6"/>
        <v>606</v>
      </c>
      <c r="V36" s="81"/>
    </row>
    <row r="37" spans="1:22">
      <c r="A37" s="58" t="s">
        <v>84</v>
      </c>
      <c r="B37" s="42">
        <v>229.7</v>
      </c>
      <c r="C37" s="42">
        <v>150.1</v>
      </c>
      <c r="D37" s="42">
        <v>0</v>
      </c>
      <c r="E37" s="42">
        <v>0</v>
      </c>
      <c r="F37" s="42">
        <v>27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  <c r="T37" s="77">
        <v>0</v>
      </c>
      <c r="U37" s="77">
        <v>0</v>
      </c>
      <c r="V37" s="81"/>
    </row>
    <row r="38" spans="1:22">
      <c r="A38" s="58" t="s">
        <v>85</v>
      </c>
      <c r="B38" s="42">
        <v>31</v>
      </c>
      <c r="C38" s="42">
        <v>44</v>
      </c>
      <c r="D38" s="42">
        <v>605.29999999999995</v>
      </c>
      <c r="E38" s="42">
        <v>282</v>
      </c>
      <c r="F38" s="42">
        <v>50</v>
      </c>
      <c r="G38" s="42">
        <v>54</v>
      </c>
      <c r="H38" s="42">
        <v>189</v>
      </c>
      <c r="I38" s="42">
        <v>134</v>
      </c>
      <c r="J38" s="42">
        <v>90</v>
      </c>
      <c r="K38" s="42">
        <v>90</v>
      </c>
      <c r="L38" s="77">
        <f t="shared" ref="L38:U41" si="7">K38</f>
        <v>90</v>
      </c>
      <c r="M38" s="77">
        <f t="shared" si="7"/>
        <v>90</v>
      </c>
      <c r="N38" s="77">
        <f t="shared" si="7"/>
        <v>90</v>
      </c>
      <c r="O38" s="77">
        <f t="shared" si="7"/>
        <v>90</v>
      </c>
      <c r="P38" s="77">
        <f t="shared" si="7"/>
        <v>90</v>
      </c>
      <c r="Q38" s="77">
        <f t="shared" si="7"/>
        <v>90</v>
      </c>
      <c r="R38" s="77">
        <f t="shared" si="7"/>
        <v>90</v>
      </c>
      <c r="S38" s="77">
        <f t="shared" si="7"/>
        <v>90</v>
      </c>
      <c r="T38" s="77">
        <f t="shared" si="7"/>
        <v>90</v>
      </c>
      <c r="U38" s="77">
        <f t="shared" si="7"/>
        <v>90</v>
      </c>
      <c r="V38" s="81"/>
    </row>
    <row r="39" spans="1:22">
      <c r="A39" s="58" t="s">
        <v>86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62">
        <v>4</v>
      </c>
      <c r="L39" s="77">
        <f t="shared" si="7"/>
        <v>4</v>
      </c>
      <c r="M39" s="77">
        <f t="shared" si="7"/>
        <v>4</v>
      </c>
      <c r="N39" s="77">
        <f t="shared" si="7"/>
        <v>4</v>
      </c>
      <c r="O39" s="77">
        <f t="shared" si="7"/>
        <v>4</v>
      </c>
      <c r="P39" s="77">
        <f t="shared" si="7"/>
        <v>4</v>
      </c>
      <c r="Q39" s="77">
        <f t="shared" si="7"/>
        <v>4</v>
      </c>
      <c r="R39" s="77">
        <f t="shared" si="7"/>
        <v>4</v>
      </c>
      <c r="S39" s="77">
        <f t="shared" si="7"/>
        <v>4</v>
      </c>
      <c r="T39" s="77">
        <f t="shared" si="7"/>
        <v>4</v>
      </c>
      <c r="U39" s="77">
        <f t="shared" si="7"/>
        <v>4</v>
      </c>
      <c r="V39" s="81"/>
    </row>
    <row r="40" spans="1:22">
      <c r="A40" s="58" t="s">
        <v>87</v>
      </c>
      <c r="B40" s="42">
        <v>68.8</v>
      </c>
      <c r="C40" s="42">
        <v>42.2</v>
      </c>
      <c r="D40" s="42">
        <v>31.9</v>
      </c>
      <c r="E40" s="42">
        <v>31</v>
      </c>
      <c r="F40" s="42">
        <v>39</v>
      </c>
      <c r="G40" s="42">
        <v>36</v>
      </c>
      <c r="H40" s="42">
        <v>46</v>
      </c>
      <c r="I40" s="42">
        <v>95</v>
      </c>
      <c r="J40" s="42">
        <v>218</v>
      </c>
      <c r="K40" s="42">
        <v>146</v>
      </c>
      <c r="L40" s="77">
        <f t="shared" si="7"/>
        <v>146</v>
      </c>
      <c r="M40" s="77">
        <f t="shared" si="7"/>
        <v>146</v>
      </c>
      <c r="N40" s="77">
        <f t="shared" si="7"/>
        <v>146</v>
      </c>
      <c r="O40" s="77">
        <f t="shared" si="7"/>
        <v>146</v>
      </c>
      <c r="P40" s="77">
        <f t="shared" si="7"/>
        <v>146</v>
      </c>
      <c r="Q40" s="77">
        <f t="shared" si="7"/>
        <v>146</v>
      </c>
      <c r="R40" s="77">
        <f t="shared" si="7"/>
        <v>146</v>
      </c>
      <c r="S40" s="77">
        <f t="shared" si="7"/>
        <v>146</v>
      </c>
      <c r="T40" s="77">
        <f t="shared" si="7"/>
        <v>146</v>
      </c>
      <c r="U40" s="77">
        <f t="shared" si="7"/>
        <v>146</v>
      </c>
      <c r="V40" s="81"/>
    </row>
    <row r="41" spans="1:22">
      <c r="A41" s="58" t="s">
        <v>88</v>
      </c>
      <c r="B41" s="42">
        <v>36.6</v>
      </c>
      <c r="C41" s="42">
        <v>279.39999999999998</v>
      </c>
      <c r="D41" s="42">
        <v>173.2</v>
      </c>
      <c r="E41" s="42">
        <v>145</v>
      </c>
      <c r="F41" s="42">
        <v>172</v>
      </c>
      <c r="G41" s="42">
        <v>217</v>
      </c>
      <c r="H41" s="42">
        <v>195</v>
      </c>
      <c r="I41" s="42">
        <v>208</v>
      </c>
      <c r="J41" s="42">
        <v>142</v>
      </c>
      <c r="K41" s="62">
        <v>149</v>
      </c>
      <c r="L41" s="77">
        <f t="shared" si="7"/>
        <v>149</v>
      </c>
      <c r="M41" s="77">
        <f t="shared" si="7"/>
        <v>149</v>
      </c>
      <c r="N41" s="77">
        <f t="shared" si="7"/>
        <v>149</v>
      </c>
      <c r="O41" s="77">
        <f t="shared" si="7"/>
        <v>149</v>
      </c>
      <c r="P41" s="77">
        <f t="shared" si="7"/>
        <v>149</v>
      </c>
      <c r="Q41" s="77">
        <f t="shared" si="7"/>
        <v>149</v>
      </c>
      <c r="R41" s="77">
        <f t="shared" si="7"/>
        <v>149</v>
      </c>
      <c r="S41" s="77">
        <f t="shared" si="7"/>
        <v>149</v>
      </c>
      <c r="T41" s="77">
        <f t="shared" si="7"/>
        <v>149</v>
      </c>
      <c r="U41" s="77">
        <f t="shared" si="7"/>
        <v>149</v>
      </c>
      <c r="V41" s="81"/>
    </row>
    <row r="42" spans="1:22">
      <c r="A42" s="59" t="s">
        <v>89</v>
      </c>
      <c r="B42" s="43">
        <v>1344.8</v>
      </c>
      <c r="C42" s="43">
        <v>1309.3</v>
      </c>
      <c r="D42" s="43">
        <v>1606</v>
      </c>
      <c r="E42" s="43">
        <v>1290</v>
      </c>
      <c r="F42" s="43">
        <v>1210</v>
      </c>
      <c r="G42" s="43">
        <v>1230</v>
      </c>
      <c r="H42" s="43">
        <v>1378</v>
      </c>
      <c r="I42" s="43">
        <v>1411</v>
      </c>
      <c r="J42" s="43">
        <v>1447</v>
      </c>
      <c r="K42" s="43">
        <v>1347</v>
      </c>
      <c r="L42" s="75">
        <f>SUM(L35:L41)</f>
        <v>1373.6869958034513</v>
      </c>
      <c r="M42" s="75">
        <f t="shared" ref="M42:U42" si="8">SUM(M35:M41)</f>
        <v>1395.5400702966751</v>
      </c>
      <c r="N42" s="75">
        <f t="shared" si="8"/>
        <v>1418.6542307793802</v>
      </c>
      <c r="O42" s="75">
        <f t="shared" si="8"/>
        <v>1443.1022513535975</v>
      </c>
      <c r="P42" s="75">
        <f t="shared" si="8"/>
        <v>1468.9611057318293</v>
      </c>
      <c r="Q42" s="75">
        <f t="shared" si="8"/>
        <v>1496.3122095860115</v>
      </c>
      <c r="R42" s="75">
        <f t="shared" si="8"/>
        <v>1525.241676881825</v>
      </c>
      <c r="S42" s="75">
        <f t="shared" si="8"/>
        <v>1555.8405910054162</v>
      </c>
      <c r="T42" s="75">
        <f t="shared" si="8"/>
        <v>1588.2052915361583</v>
      </c>
      <c r="U42" s="75">
        <f t="shared" si="8"/>
        <v>1622.4376775683488</v>
      </c>
      <c r="V42" s="81"/>
    </row>
    <row r="43" spans="1:22" s="83" customFormat="1">
      <c r="A43" s="58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82"/>
    </row>
    <row r="44" spans="1:22">
      <c r="A44" s="58" t="s">
        <v>90</v>
      </c>
      <c r="B44" s="42">
        <v>4146.2</v>
      </c>
      <c r="C44" s="42">
        <v>4685.8</v>
      </c>
      <c r="D44" s="42">
        <v>4138.2</v>
      </c>
      <c r="E44" s="42">
        <v>4033</v>
      </c>
      <c r="F44" s="42">
        <v>4695</v>
      </c>
      <c r="G44" s="42">
        <v>4636</v>
      </c>
      <c r="H44" s="42">
        <v>4650</v>
      </c>
      <c r="I44" s="42">
        <v>5650</v>
      </c>
      <c r="J44" s="42">
        <v>8927</v>
      </c>
      <c r="K44" s="42">
        <v>8497</v>
      </c>
      <c r="L44" s="77">
        <f>K44</f>
        <v>8497</v>
      </c>
      <c r="M44" s="77">
        <f>L44</f>
        <v>8497</v>
      </c>
      <c r="N44" s="77">
        <f t="shared" ref="N44:U44" si="9">M44</f>
        <v>8497</v>
      </c>
      <c r="O44" s="77">
        <f t="shared" si="9"/>
        <v>8497</v>
      </c>
      <c r="P44" s="77">
        <f t="shared" si="9"/>
        <v>8497</v>
      </c>
      <c r="Q44" s="77">
        <f t="shared" si="9"/>
        <v>8497</v>
      </c>
      <c r="R44" s="77">
        <f t="shared" si="9"/>
        <v>8497</v>
      </c>
      <c r="S44" s="77">
        <f t="shared" si="9"/>
        <v>8497</v>
      </c>
      <c r="T44" s="77">
        <f t="shared" si="9"/>
        <v>8497</v>
      </c>
      <c r="U44" s="77">
        <f t="shared" si="9"/>
        <v>8497</v>
      </c>
      <c r="V44" s="81"/>
    </row>
    <row r="45" spans="1:22">
      <c r="A45" s="58" t="s">
        <v>91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162</v>
      </c>
      <c r="L45" s="77">
        <f t="shared" ref="L45:U49" si="10">K45</f>
        <v>162</v>
      </c>
      <c r="M45" s="77">
        <f>L45</f>
        <v>162</v>
      </c>
      <c r="N45" s="77">
        <f t="shared" si="10"/>
        <v>162</v>
      </c>
      <c r="O45" s="77">
        <f t="shared" si="10"/>
        <v>162</v>
      </c>
      <c r="P45" s="77">
        <f t="shared" si="10"/>
        <v>162</v>
      </c>
      <c r="Q45" s="77">
        <f t="shared" si="10"/>
        <v>162</v>
      </c>
      <c r="R45" s="77">
        <f t="shared" si="10"/>
        <v>162</v>
      </c>
      <c r="S45" s="77">
        <f t="shared" si="10"/>
        <v>162</v>
      </c>
      <c r="T45" s="77">
        <f t="shared" si="10"/>
        <v>162</v>
      </c>
      <c r="U45" s="77">
        <f t="shared" si="10"/>
        <v>162</v>
      </c>
      <c r="V45" s="81"/>
    </row>
    <row r="46" spans="1:22">
      <c r="A46" s="58" t="s">
        <v>92</v>
      </c>
      <c r="B46" s="42">
        <v>0</v>
      </c>
      <c r="C46" s="42">
        <v>111.1</v>
      </c>
      <c r="D46" s="42">
        <v>122.9</v>
      </c>
      <c r="E46" s="42">
        <v>107</v>
      </c>
      <c r="F46" s="42">
        <v>72</v>
      </c>
      <c r="G46" s="42">
        <v>67</v>
      </c>
      <c r="H46" s="42">
        <v>62</v>
      </c>
      <c r="I46" s="42">
        <v>58</v>
      </c>
      <c r="J46" s="42">
        <v>55</v>
      </c>
      <c r="K46" s="42">
        <v>48</v>
      </c>
      <c r="L46" s="77">
        <f t="shared" si="10"/>
        <v>48</v>
      </c>
      <c r="M46" s="77">
        <f>L46</f>
        <v>48</v>
      </c>
      <c r="N46" s="77">
        <f t="shared" si="10"/>
        <v>48</v>
      </c>
      <c r="O46" s="77">
        <f t="shared" si="10"/>
        <v>48</v>
      </c>
      <c r="P46" s="77">
        <f t="shared" si="10"/>
        <v>48</v>
      </c>
      <c r="Q46" s="77">
        <f t="shared" si="10"/>
        <v>48</v>
      </c>
      <c r="R46" s="77">
        <f t="shared" si="10"/>
        <v>48</v>
      </c>
      <c r="S46" s="77">
        <f t="shared" si="10"/>
        <v>48</v>
      </c>
      <c r="T46" s="77">
        <f t="shared" si="10"/>
        <v>48</v>
      </c>
      <c r="U46" s="77">
        <f t="shared" si="10"/>
        <v>48</v>
      </c>
      <c r="V46" s="81"/>
    </row>
    <row r="47" spans="1:22">
      <c r="A47" s="58" t="s">
        <v>93</v>
      </c>
      <c r="B47" s="42">
        <v>278.8</v>
      </c>
      <c r="C47" s="42">
        <v>226.9</v>
      </c>
      <c r="D47" s="42">
        <v>1453.9</v>
      </c>
      <c r="E47" s="42">
        <v>1116</v>
      </c>
      <c r="F47" s="42">
        <v>1372</v>
      </c>
      <c r="G47" s="42">
        <v>1382</v>
      </c>
      <c r="H47" s="42">
        <v>673</v>
      </c>
      <c r="I47" s="42">
        <v>779</v>
      </c>
      <c r="J47" s="42">
        <v>786</v>
      </c>
      <c r="K47" s="42">
        <v>763</v>
      </c>
      <c r="L47" s="77">
        <f t="shared" si="10"/>
        <v>763</v>
      </c>
      <c r="M47" s="77">
        <f>L47</f>
        <v>763</v>
      </c>
      <c r="N47" s="77">
        <f t="shared" si="10"/>
        <v>763</v>
      </c>
      <c r="O47" s="77">
        <f t="shared" si="10"/>
        <v>763</v>
      </c>
      <c r="P47" s="77">
        <f t="shared" si="10"/>
        <v>763</v>
      </c>
      <c r="Q47" s="77">
        <f t="shared" si="10"/>
        <v>763</v>
      </c>
      <c r="R47" s="77">
        <f t="shared" si="10"/>
        <v>763</v>
      </c>
      <c r="S47" s="77">
        <f t="shared" si="10"/>
        <v>763</v>
      </c>
      <c r="T47" s="77">
        <f t="shared" si="10"/>
        <v>763</v>
      </c>
      <c r="U47" s="77">
        <f t="shared" si="10"/>
        <v>763</v>
      </c>
      <c r="V47" s="81"/>
    </row>
    <row r="48" spans="1:22">
      <c r="A48" s="58" t="s">
        <v>94</v>
      </c>
      <c r="B48" s="42">
        <v>1701.5</v>
      </c>
      <c r="C48" s="42">
        <v>2527.6</v>
      </c>
      <c r="D48" s="42">
        <v>1818.7</v>
      </c>
      <c r="E48" s="42">
        <v>1945</v>
      </c>
      <c r="F48" s="42">
        <v>1819</v>
      </c>
      <c r="G48" s="42">
        <v>2092</v>
      </c>
      <c r="H48" s="42">
        <v>2903</v>
      </c>
      <c r="I48" s="42">
        <v>2717</v>
      </c>
      <c r="J48" s="42">
        <v>3391</v>
      </c>
      <c r="K48" s="42">
        <v>3571</v>
      </c>
      <c r="L48" s="77">
        <f t="shared" si="10"/>
        <v>3571</v>
      </c>
      <c r="M48" s="77">
        <f>L48</f>
        <v>3571</v>
      </c>
      <c r="N48" s="77">
        <f t="shared" si="10"/>
        <v>3571</v>
      </c>
      <c r="O48" s="77">
        <f t="shared" si="10"/>
        <v>3571</v>
      </c>
      <c r="P48" s="77">
        <f t="shared" si="10"/>
        <v>3571</v>
      </c>
      <c r="Q48" s="77">
        <f t="shared" si="10"/>
        <v>3571</v>
      </c>
      <c r="R48" s="77">
        <f t="shared" si="10"/>
        <v>3571</v>
      </c>
      <c r="S48" s="77">
        <f t="shared" si="10"/>
        <v>3571</v>
      </c>
      <c r="T48" s="77">
        <f t="shared" si="10"/>
        <v>3571</v>
      </c>
      <c r="U48" s="77">
        <f t="shared" si="10"/>
        <v>3571</v>
      </c>
      <c r="V48" s="81"/>
    </row>
    <row r="49" spans="1:22">
      <c r="A49" s="58" t="s">
        <v>95</v>
      </c>
      <c r="B49" s="42">
        <v>435.8</v>
      </c>
      <c r="C49" s="42">
        <v>527.20000000000005</v>
      </c>
      <c r="D49" s="42">
        <v>357</v>
      </c>
      <c r="E49" s="42">
        <v>361</v>
      </c>
      <c r="F49" s="42">
        <v>293</v>
      </c>
      <c r="G49" s="42">
        <v>223</v>
      </c>
      <c r="H49" s="42">
        <v>260</v>
      </c>
      <c r="I49" s="42">
        <v>325</v>
      </c>
      <c r="J49" s="42">
        <v>235</v>
      </c>
      <c r="K49" s="42">
        <v>207</v>
      </c>
      <c r="L49" s="77">
        <f>K49</f>
        <v>207</v>
      </c>
      <c r="M49" s="77">
        <f>L49</f>
        <v>207</v>
      </c>
      <c r="N49" s="77">
        <f t="shared" si="10"/>
        <v>207</v>
      </c>
      <c r="O49" s="77">
        <f t="shared" si="10"/>
        <v>207</v>
      </c>
      <c r="P49" s="77">
        <f t="shared" si="10"/>
        <v>207</v>
      </c>
      <c r="Q49" s="77">
        <f t="shared" si="10"/>
        <v>207</v>
      </c>
      <c r="R49" s="77">
        <f t="shared" si="10"/>
        <v>207</v>
      </c>
      <c r="S49" s="77">
        <f t="shared" si="10"/>
        <v>207</v>
      </c>
      <c r="T49" s="77">
        <f t="shared" si="10"/>
        <v>207</v>
      </c>
      <c r="U49" s="77">
        <f t="shared" si="10"/>
        <v>207</v>
      </c>
      <c r="V49" s="81"/>
    </row>
    <row r="50" spans="1:22">
      <c r="A50" s="59" t="s">
        <v>96</v>
      </c>
      <c r="B50" s="43">
        <v>7907.1</v>
      </c>
      <c r="C50" s="43">
        <v>9387.9</v>
      </c>
      <c r="D50" s="43">
        <v>9496.7000000000007</v>
      </c>
      <c r="E50" s="43">
        <v>8852</v>
      </c>
      <c r="F50" s="43">
        <v>9461</v>
      </c>
      <c r="G50" s="43">
        <v>9630</v>
      </c>
      <c r="H50" s="43">
        <v>9926</v>
      </c>
      <c r="I50" s="43">
        <v>10940</v>
      </c>
      <c r="J50" s="43">
        <v>14841</v>
      </c>
      <c r="K50" s="43">
        <v>14595</v>
      </c>
      <c r="L50" s="75">
        <f>SUM(L42:L49)</f>
        <v>14621.686995803451</v>
      </c>
      <c r="M50" s="75">
        <f t="shared" ref="M50:U50" si="11">SUM(M42:M49)</f>
        <v>14643.540070296674</v>
      </c>
      <c r="N50" s="75">
        <f t="shared" si="11"/>
        <v>14666.654230779381</v>
      </c>
      <c r="O50" s="75">
        <f t="shared" si="11"/>
        <v>14691.102251353597</v>
      </c>
      <c r="P50" s="75">
        <f t="shared" si="11"/>
        <v>14716.961105731829</v>
      </c>
      <c r="Q50" s="75">
        <f t="shared" si="11"/>
        <v>14744.312209586011</v>
      </c>
      <c r="R50" s="75">
        <f t="shared" si="11"/>
        <v>14773.241676881826</v>
      </c>
      <c r="S50" s="75">
        <f t="shared" si="11"/>
        <v>14803.840591005417</v>
      </c>
      <c r="T50" s="75">
        <f t="shared" si="11"/>
        <v>14836.205291536158</v>
      </c>
      <c r="U50" s="75">
        <f t="shared" si="11"/>
        <v>14870.437677568349</v>
      </c>
      <c r="V50" s="81"/>
    </row>
    <row r="51" spans="1:22" s="83" customFormat="1">
      <c r="A51" s="58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82"/>
    </row>
    <row r="52" spans="1:22">
      <c r="A52" s="58" t="s">
        <v>97</v>
      </c>
      <c r="B52" s="42">
        <v>1188.5999999999999</v>
      </c>
      <c r="C52" s="42">
        <v>1220.8</v>
      </c>
      <c r="D52" s="42">
        <v>1771.1</v>
      </c>
      <c r="E52" s="42">
        <v>1813</v>
      </c>
      <c r="F52" s="42">
        <v>1854</v>
      </c>
      <c r="G52" s="42">
        <v>2127</v>
      </c>
      <c r="H52" s="42">
        <v>2240</v>
      </c>
      <c r="I52" s="42">
        <v>2185</v>
      </c>
      <c r="J52" s="42">
        <v>2058</v>
      </c>
      <c r="K52" s="42">
        <v>2002</v>
      </c>
      <c r="L52" s="77">
        <f>K52</f>
        <v>2002</v>
      </c>
      <c r="M52" s="77">
        <f>L52</f>
        <v>2002</v>
      </c>
      <c r="N52" s="77">
        <f t="shared" ref="N52:U53" si="12">M52</f>
        <v>2002</v>
      </c>
      <c r="O52" s="77">
        <f t="shared" si="12"/>
        <v>2002</v>
      </c>
      <c r="P52" s="77">
        <f t="shared" si="12"/>
        <v>2002</v>
      </c>
      <c r="Q52" s="77">
        <f t="shared" si="12"/>
        <v>2002</v>
      </c>
      <c r="R52" s="77">
        <f t="shared" si="12"/>
        <v>2002</v>
      </c>
      <c r="S52" s="77">
        <f t="shared" si="12"/>
        <v>2002</v>
      </c>
      <c r="T52" s="77">
        <f t="shared" si="12"/>
        <v>2002</v>
      </c>
      <c r="U52" s="77">
        <f t="shared" si="12"/>
        <v>2002</v>
      </c>
      <c r="V52" s="81"/>
    </row>
    <row r="53" spans="1:22">
      <c r="A53" s="58" t="s">
        <v>98</v>
      </c>
      <c r="B53" s="42">
        <v>42.4</v>
      </c>
      <c r="C53" s="42">
        <v>40.200000000000003</v>
      </c>
      <c r="D53" s="42">
        <v>30.8</v>
      </c>
      <c r="E53" s="42">
        <v>24</v>
      </c>
      <c r="F53" s="42">
        <v>86</v>
      </c>
      <c r="G53" s="42">
        <v>41</v>
      </c>
      <c r="H53" s="42">
        <v>34</v>
      </c>
      <c r="I53" s="42">
        <v>36</v>
      </c>
      <c r="J53" s="42">
        <v>43</v>
      </c>
      <c r="K53" s="42">
        <v>52</v>
      </c>
      <c r="L53" s="77">
        <f>K53</f>
        <v>52</v>
      </c>
      <c r="M53" s="77">
        <f>L53</f>
        <v>52</v>
      </c>
      <c r="N53" s="77">
        <f t="shared" si="12"/>
        <v>52</v>
      </c>
      <c r="O53" s="77">
        <f t="shared" si="12"/>
        <v>52</v>
      </c>
      <c r="P53" s="77">
        <f t="shared" si="12"/>
        <v>52</v>
      </c>
      <c r="Q53" s="77">
        <f t="shared" si="12"/>
        <v>52</v>
      </c>
      <c r="R53" s="77">
        <f t="shared" si="12"/>
        <v>52</v>
      </c>
      <c r="S53" s="77">
        <f t="shared" si="12"/>
        <v>52</v>
      </c>
      <c r="T53" s="77">
        <f t="shared" si="12"/>
        <v>52</v>
      </c>
      <c r="U53" s="77">
        <f t="shared" si="12"/>
        <v>52</v>
      </c>
      <c r="V53" s="81"/>
    </row>
    <row r="54" spans="1:22">
      <c r="A54" s="58" t="s">
        <v>99</v>
      </c>
      <c r="B54" s="62">
        <v>4187.3</v>
      </c>
      <c r="C54" s="62">
        <v>4430.7</v>
      </c>
      <c r="D54" s="62">
        <v>4600.8999999999996</v>
      </c>
      <c r="E54" s="62">
        <v>5073</v>
      </c>
      <c r="F54" s="62">
        <v>5445</v>
      </c>
      <c r="G54" s="62">
        <v>5697</v>
      </c>
      <c r="H54" s="62">
        <v>6326</v>
      </c>
      <c r="I54" s="62">
        <v>5608</v>
      </c>
      <c r="J54" s="62">
        <v>4172</v>
      </c>
      <c r="K54" s="62">
        <v>4371</v>
      </c>
      <c r="L54" s="77">
        <f ca="1">K54+'Income Statement'!L50</f>
        <v>5677.8293917322089</v>
      </c>
      <c r="M54" s="77">
        <f ca="1">L54+'Income Statement'!M50</f>
        <v>7085.3370637501903</v>
      </c>
      <c r="N54" s="77">
        <f ca="1">M54+'Income Statement'!N50</f>
        <v>8598.9954679992898</v>
      </c>
      <c r="O54" s="77">
        <f ca="1">N54+'Income Statement'!O50</f>
        <v>10224.598445019756</v>
      </c>
      <c r="P54" s="77">
        <f ca="1">O54+'Income Statement'!P50</f>
        <v>11968.279123116579</v>
      </c>
      <c r="Q54" s="77">
        <f ca="1">P54+'Income Statement'!Q50</f>
        <v>13836.528848629991</v>
      </c>
      <c r="R54" s="77">
        <f ca="1">Q54+'Income Statement'!R50</f>
        <v>15836.21720528376</v>
      </c>
      <c r="S54" s="77">
        <f ca="1">R54+'Income Statement'!S50</f>
        <v>17974.613183895563</v>
      </c>
      <c r="T54" s="77">
        <f ca="1">S54+'Income Statement'!T50</f>
        <v>20259.407567227245</v>
      </c>
      <c r="U54" s="77">
        <f ca="1">T54+'Income Statement'!U50</f>
        <v>22698.73659844348</v>
      </c>
      <c r="V54" s="81"/>
    </row>
    <row r="55" spans="1:22">
      <c r="A55" s="58" t="s">
        <v>100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0</v>
      </c>
      <c r="S55" s="77">
        <v>0</v>
      </c>
      <c r="T55" s="77">
        <v>0</v>
      </c>
      <c r="U55" s="77">
        <v>0</v>
      </c>
      <c r="V55" s="81"/>
    </row>
    <row r="56" spans="1:22">
      <c r="A56" s="58" t="s">
        <v>101</v>
      </c>
      <c r="B56" s="42">
        <v>39.6</v>
      </c>
      <c r="C56" s="42">
        <v>77.7</v>
      </c>
      <c r="D56" s="42">
        <v>-1744.7</v>
      </c>
      <c r="E56" s="42">
        <v>-2086</v>
      </c>
      <c r="F56" s="42">
        <v>-2736</v>
      </c>
      <c r="G56" s="42">
        <v>-2768</v>
      </c>
      <c r="H56" s="42">
        <v>-1503</v>
      </c>
      <c r="I56" s="42">
        <v>-2219</v>
      </c>
      <c r="J56" s="42">
        <v>-1477</v>
      </c>
      <c r="K56" s="42">
        <v>-1799</v>
      </c>
      <c r="L56" s="77">
        <f>K56</f>
        <v>-1799</v>
      </c>
      <c r="M56" s="77">
        <f>L56</f>
        <v>-1799</v>
      </c>
      <c r="N56" s="77">
        <f t="shared" ref="N56:U56" si="13">M56</f>
        <v>-1799</v>
      </c>
      <c r="O56" s="77">
        <f t="shared" si="13"/>
        <v>-1799</v>
      </c>
      <c r="P56" s="77">
        <f t="shared" si="13"/>
        <v>-1799</v>
      </c>
      <c r="Q56" s="77">
        <f t="shared" si="13"/>
        <v>-1799</v>
      </c>
      <c r="R56" s="77">
        <f t="shared" si="13"/>
        <v>-1799</v>
      </c>
      <c r="S56" s="77">
        <f t="shared" si="13"/>
        <v>-1799</v>
      </c>
      <c r="T56" s="77">
        <f t="shared" si="13"/>
        <v>-1799</v>
      </c>
      <c r="U56" s="77">
        <f t="shared" si="13"/>
        <v>-1799</v>
      </c>
      <c r="V56" s="81"/>
    </row>
    <row r="57" spans="1:22">
      <c r="A57" s="59" t="s">
        <v>102</v>
      </c>
      <c r="B57" s="43">
        <v>5457.9</v>
      </c>
      <c r="C57" s="43">
        <v>5769.4</v>
      </c>
      <c r="D57" s="43">
        <v>4658.1000000000004</v>
      </c>
      <c r="E57" s="43">
        <v>4824</v>
      </c>
      <c r="F57" s="43">
        <v>4649</v>
      </c>
      <c r="G57" s="43">
        <v>5097</v>
      </c>
      <c r="H57" s="43">
        <v>7097</v>
      </c>
      <c r="I57" s="43">
        <v>5610</v>
      </c>
      <c r="J57" s="43">
        <v>4796</v>
      </c>
      <c r="K57" s="43">
        <v>4626</v>
      </c>
      <c r="L57" s="75">
        <f ca="1">SUM(L52:L55)+L56</f>
        <v>5932.8293917322089</v>
      </c>
      <c r="M57" s="75">
        <f t="shared" ref="M57:U57" ca="1" si="14">SUM(M52:M55)+M56</f>
        <v>7340.3370637501903</v>
      </c>
      <c r="N57" s="75">
        <f t="shared" ca="1" si="14"/>
        <v>8853.9954679992898</v>
      </c>
      <c r="O57" s="75">
        <f t="shared" ca="1" si="14"/>
        <v>10479.598445019756</v>
      </c>
      <c r="P57" s="75">
        <f t="shared" ca="1" si="14"/>
        <v>12223.279123116579</v>
      </c>
      <c r="Q57" s="75">
        <f t="shared" ca="1" si="14"/>
        <v>14091.528848629991</v>
      </c>
      <c r="R57" s="75">
        <f t="shared" ca="1" si="14"/>
        <v>16091.21720528376</v>
      </c>
      <c r="S57" s="75">
        <f t="shared" ca="1" si="14"/>
        <v>18229.613183895563</v>
      </c>
      <c r="T57" s="75">
        <f t="shared" ca="1" si="14"/>
        <v>20514.407567227245</v>
      </c>
      <c r="U57" s="75">
        <f t="shared" ca="1" si="14"/>
        <v>22953.73659844348</v>
      </c>
      <c r="V57" s="81"/>
    </row>
    <row r="58" spans="1:22" s="83" customFormat="1">
      <c r="A58" s="58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82"/>
    </row>
    <row r="59" spans="1:22">
      <c r="A59" s="39" t="s">
        <v>103</v>
      </c>
      <c r="B59" s="63">
        <v>5457.9</v>
      </c>
      <c r="C59" s="63">
        <v>5769.4</v>
      </c>
      <c r="D59" s="63">
        <v>4658.1000000000004</v>
      </c>
      <c r="E59" s="63">
        <v>4824</v>
      </c>
      <c r="F59" s="63">
        <v>4649</v>
      </c>
      <c r="G59" s="63">
        <v>5097</v>
      </c>
      <c r="H59" s="63">
        <v>7097</v>
      </c>
      <c r="I59" s="63">
        <v>5610</v>
      </c>
      <c r="J59" s="63">
        <v>4796</v>
      </c>
      <c r="K59" s="63">
        <v>4626</v>
      </c>
      <c r="L59" s="88">
        <f ca="1">L57</f>
        <v>5932.8293917322089</v>
      </c>
      <c r="M59" s="88">
        <f t="shared" ref="M59:U59" ca="1" si="15">M57</f>
        <v>7340.3370637501903</v>
      </c>
      <c r="N59" s="88">
        <f t="shared" ca="1" si="15"/>
        <v>8853.9954679992898</v>
      </c>
      <c r="O59" s="88">
        <f t="shared" ca="1" si="15"/>
        <v>10479.598445019756</v>
      </c>
      <c r="P59" s="88">
        <f t="shared" ca="1" si="15"/>
        <v>12223.279123116579</v>
      </c>
      <c r="Q59" s="88">
        <f t="shared" ca="1" si="15"/>
        <v>14091.528848629991</v>
      </c>
      <c r="R59" s="88">
        <f t="shared" ca="1" si="15"/>
        <v>16091.21720528376</v>
      </c>
      <c r="S59" s="88">
        <f t="shared" ca="1" si="15"/>
        <v>18229.613183895563</v>
      </c>
      <c r="T59" s="88">
        <f t="shared" ca="1" si="15"/>
        <v>20514.407567227245</v>
      </c>
      <c r="U59" s="88">
        <f t="shared" ca="1" si="15"/>
        <v>22953.73659844348</v>
      </c>
      <c r="V59" s="81"/>
    </row>
    <row r="60" spans="1:22" s="83" customFormat="1">
      <c r="A60" s="58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82"/>
    </row>
    <row r="61" spans="1:22" s="87" customFormat="1">
      <c r="A61" s="67" t="s">
        <v>104</v>
      </c>
      <c r="B61" s="69">
        <v>13365</v>
      </c>
      <c r="C61" s="69">
        <v>15157.3</v>
      </c>
      <c r="D61" s="69">
        <v>14154.8</v>
      </c>
      <c r="E61" s="69">
        <v>13676</v>
      </c>
      <c r="F61" s="69">
        <v>14110</v>
      </c>
      <c r="G61" s="69">
        <v>14727</v>
      </c>
      <c r="H61" s="69">
        <v>17023</v>
      </c>
      <c r="I61" s="69">
        <v>16550</v>
      </c>
      <c r="J61" s="69">
        <v>19637</v>
      </c>
      <c r="K61" s="69">
        <v>19221</v>
      </c>
      <c r="L61" s="69">
        <f ca="1">L50+L59</f>
        <v>20554.516387535659</v>
      </c>
      <c r="M61" s="69">
        <f t="shared" ref="M61:U61" ca="1" si="16">M50+M59</f>
        <v>21983.877134046867</v>
      </c>
      <c r="N61" s="69">
        <f t="shared" ca="1" si="16"/>
        <v>23520.64969877867</v>
      </c>
      <c r="O61" s="69">
        <f t="shared" ca="1" si="16"/>
        <v>25170.700696373351</v>
      </c>
      <c r="P61" s="69">
        <f t="shared" ca="1" si="16"/>
        <v>26940.240228848408</v>
      </c>
      <c r="Q61" s="69">
        <f t="shared" ca="1" si="16"/>
        <v>28835.841058216</v>
      </c>
      <c r="R61" s="69">
        <f t="shared" ca="1" si="16"/>
        <v>30864.458882165585</v>
      </c>
      <c r="S61" s="69">
        <f t="shared" ca="1" si="16"/>
        <v>33033.453774900976</v>
      </c>
      <c r="T61" s="69">
        <f t="shared" ca="1" si="16"/>
        <v>35350.612858763401</v>
      </c>
      <c r="U61" s="69">
        <f t="shared" ca="1" si="16"/>
        <v>37824.174276011829</v>
      </c>
      <c r="V61" s="86"/>
    </row>
    <row r="62" spans="1:22" s="90" customFormat="1" ht="10.5">
      <c r="A62" s="67" t="s">
        <v>105</v>
      </c>
      <c r="B62" s="67"/>
      <c r="C62" s="67"/>
      <c r="D62" s="67"/>
      <c r="E62" s="67"/>
      <c r="F62" s="67"/>
      <c r="G62" s="67"/>
      <c r="H62" s="67"/>
      <c r="I62" s="67"/>
      <c r="J62" s="67"/>
      <c r="K62" s="89">
        <f>K32-SUM(K50,K59)</f>
        <v>0</v>
      </c>
      <c r="L62" s="89">
        <f ca="1">L32-SUM(L50,L59)</f>
        <v>0</v>
      </c>
      <c r="M62" s="89">
        <f t="shared" ref="M62:U62" ca="1" si="17">M32-SUM(M50,M59)</f>
        <v>0</v>
      </c>
      <c r="N62" s="89">
        <f t="shared" ca="1" si="17"/>
        <v>0</v>
      </c>
      <c r="O62" s="89">
        <f t="shared" ca="1" si="17"/>
        <v>0</v>
      </c>
      <c r="P62" s="89">
        <f t="shared" ca="1" si="17"/>
        <v>0</v>
      </c>
      <c r="Q62" s="89">
        <f t="shared" ca="1" si="17"/>
        <v>0</v>
      </c>
      <c r="R62" s="89">
        <f t="shared" ca="1" si="17"/>
        <v>0</v>
      </c>
      <c r="S62" s="89">
        <f t="shared" ca="1" si="17"/>
        <v>0</v>
      </c>
      <c r="T62" s="89">
        <f t="shared" ca="1" si="17"/>
        <v>0</v>
      </c>
      <c r="U62" s="89">
        <f t="shared" ca="1" si="17"/>
        <v>0</v>
      </c>
    </row>
    <row r="63" spans="1:22">
      <c r="A63" s="64" t="s">
        <v>49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</row>
    <row r="64" spans="1:22" s="49" customFormat="1">
      <c r="A64" s="48" t="s">
        <v>49</v>
      </c>
    </row>
    <row r="65" spans="1:11">
      <c r="A65" s="91" t="s">
        <v>50</v>
      </c>
      <c r="B65" s="76"/>
    </row>
    <row r="66" spans="1:11">
      <c r="A66" s="50" t="s">
        <v>106</v>
      </c>
      <c r="B66" s="70">
        <f>AVERAGE(G67:K67)</f>
        <v>9.7483177871009949E-2</v>
      </c>
      <c r="C66" s="47" t="s">
        <v>54</v>
      </c>
    </row>
    <row r="67" spans="1:11">
      <c r="A67" s="50"/>
      <c r="B67" s="65">
        <f>B15/'Income Statement'!B10</f>
        <v>0.10625371739315149</v>
      </c>
      <c r="C67" s="65">
        <f>C15/'Income Statement'!C10</f>
        <v>0.12823610973556501</v>
      </c>
      <c r="D67" s="65">
        <f>D15/'Income Statement'!D10</f>
        <v>0.14881871876419811</v>
      </c>
      <c r="E67" s="65">
        <f>E15/'Income Statement'!E10</f>
        <v>9.2150170648464161E-2</v>
      </c>
      <c r="F67" s="65">
        <f>F15/'Income Statement'!F10</f>
        <v>0.10005794861889125</v>
      </c>
      <c r="G67" s="65">
        <f>G15/'Income Statement'!G10</f>
        <v>9.5873573309920981E-2</v>
      </c>
      <c r="H67" s="65">
        <f>H15/'Income Statement'!H10</f>
        <v>9.4570357084624163E-2</v>
      </c>
      <c r="I67" s="65">
        <f>I15/'Income Statement'!I10</f>
        <v>0.10604229607250755</v>
      </c>
      <c r="J67" s="65">
        <f>J15/'Income Statement'!J10</f>
        <v>9.6096543504171628E-2</v>
      </c>
      <c r="K67" s="65">
        <f>K15/'Income Statement'!K10</f>
        <v>9.4833119383825423E-2</v>
      </c>
    </row>
    <row r="68" spans="1:11">
      <c r="A68" s="50" t="s">
        <v>107</v>
      </c>
      <c r="B68" s="70">
        <f>((K23/C23)^(1/5))-1</f>
        <v>6.0489195737514434E-2</v>
      </c>
    </row>
    <row r="69" spans="1:11">
      <c r="A69" s="50" t="s">
        <v>108</v>
      </c>
      <c r="B69" s="70">
        <f>AVERAGE(G70:K70)</f>
        <v>0.10291568124615309</v>
      </c>
      <c r="C69" s="47" t="s">
        <v>54</v>
      </c>
    </row>
    <row r="70" spans="1:11">
      <c r="A70" s="50"/>
      <c r="B70" s="65">
        <f>B35/'Income Statement'!B12</f>
        <v>0.29506620075016826</v>
      </c>
      <c r="C70" s="65">
        <f>C35/'Income Statement'!C12</f>
        <v>0.21059391840951611</v>
      </c>
      <c r="D70" s="65">
        <f>D35/'Income Statement'!D12</f>
        <v>8.0083520719563123E-2</v>
      </c>
      <c r="E70" s="65">
        <f>E35/'Income Statement'!E12</f>
        <v>6.6943127962085305E-2</v>
      </c>
      <c r="F70" s="65">
        <f>F35/'Income Statement'!F12</f>
        <v>0.10403225806451613</v>
      </c>
      <c r="G70" s="65">
        <f>G35/'Income Statement'!G12</f>
        <v>8.3398285268901015E-2</v>
      </c>
      <c r="H70" s="65">
        <f>H35/'Income Statement'!H12</f>
        <v>9.8895027624309392E-2</v>
      </c>
      <c r="I70" s="65">
        <f>I35/'Income Statement'!I12</f>
        <v>0.11184391316295686</v>
      </c>
      <c r="J70" s="65">
        <f>J35/'Income Statement'!J12</f>
        <v>9.8978102189781023E-2</v>
      </c>
      <c r="K70" s="65">
        <f>K35/'Income Statement'!K12</f>
        <v>0.12146307798481712</v>
      </c>
    </row>
    <row r="71" spans="1:11">
      <c r="A71" s="39" t="s">
        <v>109</v>
      </c>
      <c r="B71" s="70">
        <f>AVERAGE(G72:K72)</f>
        <v>2.7011192091256176E-2</v>
      </c>
    </row>
    <row r="72" spans="1:11">
      <c r="B72" s="65">
        <f>B17/'Income Statement'!B10</f>
        <v>3.8129832611096946E-2</v>
      </c>
      <c r="C72" s="65">
        <f>C17/'Income Statement'!C10</f>
        <v>4.2745369911855007E-2</v>
      </c>
      <c r="D72" s="65">
        <f>D17/'Income Statement'!D10</f>
        <v>3.0145388459791003E-2</v>
      </c>
      <c r="E72" s="65">
        <f>E17/'Income Statement'!E10</f>
        <v>2.2886970487853844E-2</v>
      </c>
      <c r="F72" s="65">
        <f>F17/'Income Statement'!F10</f>
        <v>2.6656364689974888E-2</v>
      </c>
      <c r="G72" s="65">
        <f>G17/'Income Statement'!G10</f>
        <v>2.3880597014925373E-2</v>
      </c>
      <c r="H72" s="65">
        <f>H17/'Income Statement'!H10</f>
        <v>2.6903636067177564E-2</v>
      </c>
      <c r="I72" s="65">
        <f>I17/'Income Statement'!I10</f>
        <v>2.6737160120845923E-2</v>
      </c>
      <c r="J72" s="65">
        <f>J17/'Income Statement'!J10</f>
        <v>2.8009535160905839E-2</v>
      </c>
      <c r="K72" s="65">
        <f>K17/'Income Statement'!K10</f>
        <v>2.9525032092426188E-2</v>
      </c>
    </row>
    <row r="73" spans="1:11">
      <c r="A73" s="39" t="s">
        <v>90</v>
      </c>
      <c r="B73" s="71">
        <f>AVERAGE(G44:K44)</f>
        <v>6472</v>
      </c>
    </row>
  </sheetData>
  <mergeCells count="1">
    <mergeCell ref="L5:U5"/>
  </mergeCells>
  <pageMargins left="0.2" right="0.2" top="0.5" bottom="0.5" header="0.5" footer="0.5"/>
  <pageSetup fitToWidth="0" fitToHeight="0" orientation="landscape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  <outlinePr summaryBelow="0" summaryRight="0"/>
    <pageSetUpPr autoPageBreaks="0"/>
  </sheetPr>
  <dimension ref="A6:IT104"/>
  <sheetViews>
    <sheetView workbookViewId="0">
      <pane xSplit="1" ySplit="8" topLeftCell="B72" activePane="bottomRight" state="frozen"/>
      <selection activeCell="I62" sqref="I62"/>
      <selection pane="topRight" activeCell="I62" sqref="I62"/>
      <selection pane="bottomLeft" activeCell="I62" sqref="I62"/>
      <selection pane="bottomRight" activeCell="I62" sqref="I62"/>
    </sheetView>
  </sheetViews>
  <sheetFormatPr defaultColWidth="8.85546875" defaultRowHeight="11.25"/>
  <cols>
    <col min="1" max="1" width="55.7109375" style="47" customWidth="1"/>
    <col min="2" max="3" width="13" style="47" customWidth="1"/>
    <col min="4" max="4" width="12.42578125" style="47" customWidth="1"/>
    <col min="5" max="5" width="12.7109375" style="47" customWidth="1"/>
    <col min="6" max="6" width="12.42578125" style="47" customWidth="1"/>
    <col min="7" max="8" width="12.28515625" style="47" customWidth="1"/>
    <col min="9" max="9" width="13.42578125" style="47" customWidth="1"/>
    <col min="10" max="10" width="13.140625" style="47" customWidth="1"/>
    <col min="11" max="11" width="20.42578125" style="47" customWidth="1"/>
    <col min="12" max="16" width="9.42578125" style="47" customWidth="1"/>
    <col min="17" max="17" width="9.28515625" style="47" bestFit="1" customWidth="1"/>
    <col min="18" max="20" width="9.7109375" style="47" bestFit="1" customWidth="1"/>
    <col min="21" max="21" width="9.28515625" style="47" bestFit="1" customWidth="1"/>
    <col min="22" max="256" width="8.85546875" style="47"/>
    <col min="257" max="257" width="29.28515625" style="47" customWidth="1"/>
    <col min="258" max="266" width="10.42578125" style="47" customWidth="1"/>
    <col min="267" max="267" width="13.7109375" style="47" customWidth="1"/>
    <col min="268" max="272" width="9.42578125" style="47" customWidth="1"/>
    <col min="273" max="273" width="9.28515625" style="47" bestFit="1" customWidth="1"/>
    <col min="274" max="276" width="9.7109375" style="47" bestFit="1" customWidth="1"/>
    <col min="277" max="277" width="9.28515625" style="47" bestFit="1" customWidth="1"/>
    <col min="278" max="512" width="8.85546875" style="47"/>
    <col min="513" max="513" width="29.28515625" style="47" customWidth="1"/>
    <col min="514" max="522" width="10.42578125" style="47" customWidth="1"/>
    <col min="523" max="523" width="13.7109375" style="47" customWidth="1"/>
    <col min="524" max="528" width="9.42578125" style="47" customWidth="1"/>
    <col min="529" max="529" width="9.28515625" style="47" bestFit="1" customWidth="1"/>
    <col min="530" max="532" width="9.7109375" style="47" bestFit="1" customWidth="1"/>
    <col min="533" max="533" width="9.28515625" style="47" bestFit="1" customWidth="1"/>
    <col min="534" max="768" width="8.85546875" style="47"/>
    <col min="769" max="769" width="29.28515625" style="47" customWidth="1"/>
    <col min="770" max="778" width="10.42578125" style="47" customWidth="1"/>
    <col min="779" max="779" width="13.7109375" style="47" customWidth="1"/>
    <col min="780" max="784" width="9.42578125" style="47" customWidth="1"/>
    <col min="785" max="785" width="9.28515625" style="47" bestFit="1" customWidth="1"/>
    <col min="786" max="788" width="9.7109375" style="47" bestFit="1" customWidth="1"/>
    <col min="789" max="789" width="9.28515625" style="47" bestFit="1" customWidth="1"/>
    <col min="790" max="1024" width="8.85546875" style="47"/>
    <col min="1025" max="1025" width="29.28515625" style="47" customWidth="1"/>
    <col min="1026" max="1034" width="10.42578125" style="47" customWidth="1"/>
    <col min="1035" max="1035" width="13.7109375" style="47" customWidth="1"/>
    <col min="1036" max="1040" width="9.42578125" style="47" customWidth="1"/>
    <col min="1041" max="1041" width="9.28515625" style="47" bestFit="1" customWidth="1"/>
    <col min="1042" max="1044" width="9.7109375" style="47" bestFit="1" customWidth="1"/>
    <col min="1045" max="1045" width="9.28515625" style="47" bestFit="1" customWidth="1"/>
    <col min="1046" max="1280" width="8.85546875" style="47"/>
    <col min="1281" max="1281" width="29.28515625" style="47" customWidth="1"/>
    <col min="1282" max="1290" width="10.42578125" style="47" customWidth="1"/>
    <col min="1291" max="1291" width="13.7109375" style="47" customWidth="1"/>
    <col min="1292" max="1296" width="9.42578125" style="47" customWidth="1"/>
    <col min="1297" max="1297" width="9.28515625" style="47" bestFit="1" customWidth="1"/>
    <col min="1298" max="1300" width="9.7109375" style="47" bestFit="1" customWidth="1"/>
    <col min="1301" max="1301" width="9.28515625" style="47" bestFit="1" customWidth="1"/>
    <col min="1302" max="1536" width="8.85546875" style="47"/>
    <col min="1537" max="1537" width="29.28515625" style="47" customWidth="1"/>
    <col min="1538" max="1546" width="10.42578125" style="47" customWidth="1"/>
    <col min="1547" max="1547" width="13.7109375" style="47" customWidth="1"/>
    <col min="1548" max="1552" width="9.42578125" style="47" customWidth="1"/>
    <col min="1553" max="1553" width="9.28515625" style="47" bestFit="1" customWidth="1"/>
    <col min="1554" max="1556" width="9.7109375" style="47" bestFit="1" customWidth="1"/>
    <col min="1557" max="1557" width="9.28515625" style="47" bestFit="1" customWidth="1"/>
    <col min="1558" max="1792" width="8.85546875" style="47"/>
    <col min="1793" max="1793" width="29.28515625" style="47" customWidth="1"/>
    <col min="1794" max="1802" width="10.42578125" style="47" customWidth="1"/>
    <col min="1803" max="1803" width="13.7109375" style="47" customWidth="1"/>
    <col min="1804" max="1808" width="9.42578125" style="47" customWidth="1"/>
    <col min="1809" max="1809" width="9.28515625" style="47" bestFit="1" customWidth="1"/>
    <col min="1810" max="1812" width="9.7109375" style="47" bestFit="1" customWidth="1"/>
    <col min="1813" max="1813" width="9.28515625" style="47" bestFit="1" customWidth="1"/>
    <col min="1814" max="2048" width="8.85546875" style="47"/>
    <col min="2049" max="2049" width="29.28515625" style="47" customWidth="1"/>
    <col min="2050" max="2058" width="10.42578125" style="47" customWidth="1"/>
    <col min="2059" max="2059" width="13.7109375" style="47" customWidth="1"/>
    <col min="2060" max="2064" width="9.42578125" style="47" customWidth="1"/>
    <col min="2065" max="2065" width="9.28515625" style="47" bestFit="1" customWidth="1"/>
    <col min="2066" max="2068" width="9.7109375" style="47" bestFit="1" customWidth="1"/>
    <col min="2069" max="2069" width="9.28515625" style="47" bestFit="1" customWidth="1"/>
    <col min="2070" max="2304" width="8.85546875" style="47"/>
    <col min="2305" max="2305" width="29.28515625" style="47" customWidth="1"/>
    <col min="2306" max="2314" width="10.42578125" style="47" customWidth="1"/>
    <col min="2315" max="2315" width="13.7109375" style="47" customWidth="1"/>
    <col min="2316" max="2320" width="9.42578125" style="47" customWidth="1"/>
    <col min="2321" max="2321" width="9.28515625" style="47" bestFit="1" customWidth="1"/>
    <col min="2322" max="2324" width="9.7109375" style="47" bestFit="1" customWidth="1"/>
    <col min="2325" max="2325" width="9.28515625" style="47" bestFit="1" customWidth="1"/>
    <col min="2326" max="2560" width="8.85546875" style="47"/>
    <col min="2561" max="2561" width="29.28515625" style="47" customWidth="1"/>
    <col min="2562" max="2570" width="10.42578125" style="47" customWidth="1"/>
    <col min="2571" max="2571" width="13.7109375" style="47" customWidth="1"/>
    <col min="2572" max="2576" width="9.42578125" style="47" customWidth="1"/>
    <col min="2577" max="2577" width="9.28515625" style="47" bestFit="1" customWidth="1"/>
    <col min="2578" max="2580" width="9.7109375" style="47" bestFit="1" customWidth="1"/>
    <col min="2581" max="2581" width="9.28515625" style="47" bestFit="1" customWidth="1"/>
    <col min="2582" max="2816" width="8.85546875" style="47"/>
    <col min="2817" max="2817" width="29.28515625" style="47" customWidth="1"/>
    <col min="2818" max="2826" width="10.42578125" style="47" customWidth="1"/>
    <col min="2827" max="2827" width="13.7109375" style="47" customWidth="1"/>
    <col min="2828" max="2832" width="9.42578125" style="47" customWidth="1"/>
    <col min="2833" max="2833" width="9.28515625" style="47" bestFit="1" customWidth="1"/>
    <col min="2834" max="2836" width="9.7109375" style="47" bestFit="1" customWidth="1"/>
    <col min="2837" max="2837" width="9.28515625" style="47" bestFit="1" customWidth="1"/>
    <col min="2838" max="3072" width="8.85546875" style="47"/>
    <col min="3073" max="3073" width="29.28515625" style="47" customWidth="1"/>
    <col min="3074" max="3082" width="10.42578125" style="47" customWidth="1"/>
    <col min="3083" max="3083" width="13.7109375" style="47" customWidth="1"/>
    <col min="3084" max="3088" width="9.42578125" style="47" customWidth="1"/>
    <col min="3089" max="3089" width="9.28515625" style="47" bestFit="1" customWidth="1"/>
    <col min="3090" max="3092" width="9.7109375" style="47" bestFit="1" customWidth="1"/>
    <col min="3093" max="3093" width="9.28515625" style="47" bestFit="1" customWidth="1"/>
    <col min="3094" max="3328" width="8.85546875" style="47"/>
    <col min="3329" max="3329" width="29.28515625" style="47" customWidth="1"/>
    <col min="3330" max="3338" width="10.42578125" style="47" customWidth="1"/>
    <col min="3339" max="3339" width="13.7109375" style="47" customWidth="1"/>
    <col min="3340" max="3344" width="9.42578125" style="47" customWidth="1"/>
    <col min="3345" max="3345" width="9.28515625" style="47" bestFit="1" customWidth="1"/>
    <col min="3346" max="3348" width="9.7109375" style="47" bestFit="1" customWidth="1"/>
    <col min="3349" max="3349" width="9.28515625" style="47" bestFit="1" customWidth="1"/>
    <col min="3350" max="3584" width="8.85546875" style="47"/>
    <col min="3585" max="3585" width="29.28515625" style="47" customWidth="1"/>
    <col min="3586" max="3594" width="10.42578125" style="47" customWidth="1"/>
    <col min="3595" max="3595" width="13.7109375" style="47" customWidth="1"/>
    <col min="3596" max="3600" width="9.42578125" style="47" customWidth="1"/>
    <col min="3601" max="3601" width="9.28515625" style="47" bestFit="1" customWidth="1"/>
    <col min="3602" max="3604" width="9.7109375" style="47" bestFit="1" customWidth="1"/>
    <col min="3605" max="3605" width="9.28515625" style="47" bestFit="1" customWidth="1"/>
    <col min="3606" max="3840" width="8.85546875" style="47"/>
    <col min="3841" max="3841" width="29.28515625" style="47" customWidth="1"/>
    <col min="3842" max="3850" width="10.42578125" style="47" customWidth="1"/>
    <col min="3851" max="3851" width="13.7109375" style="47" customWidth="1"/>
    <col min="3852" max="3856" width="9.42578125" style="47" customWidth="1"/>
    <col min="3857" max="3857" width="9.28515625" style="47" bestFit="1" customWidth="1"/>
    <col min="3858" max="3860" width="9.7109375" style="47" bestFit="1" customWidth="1"/>
    <col min="3861" max="3861" width="9.28515625" style="47" bestFit="1" customWidth="1"/>
    <col min="3862" max="4096" width="8.85546875" style="47"/>
    <col min="4097" max="4097" width="29.28515625" style="47" customWidth="1"/>
    <col min="4098" max="4106" width="10.42578125" style="47" customWidth="1"/>
    <col min="4107" max="4107" width="13.7109375" style="47" customWidth="1"/>
    <col min="4108" max="4112" width="9.42578125" style="47" customWidth="1"/>
    <col min="4113" max="4113" width="9.28515625" style="47" bestFit="1" customWidth="1"/>
    <col min="4114" max="4116" width="9.7109375" style="47" bestFit="1" customWidth="1"/>
    <col min="4117" max="4117" width="9.28515625" style="47" bestFit="1" customWidth="1"/>
    <col min="4118" max="4352" width="8.85546875" style="47"/>
    <col min="4353" max="4353" width="29.28515625" style="47" customWidth="1"/>
    <col min="4354" max="4362" width="10.42578125" style="47" customWidth="1"/>
    <col min="4363" max="4363" width="13.7109375" style="47" customWidth="1"/>
    <col min="4364" max="4368" width="9.42578125" style="47" customWidth="1"/>
    <col min="4369" max="4369" width="9.28515625" style="47" bestFit="1" customWidth="1"/>
    <col min="4370" max="4372" width="9.7109375" style="47" bestFit="1" customWidth="1"/>
    <col min="4373" max="4373" width="9.28515625" style="47" bestFit="1" customWidth="1"/>
    <col min="4374" max="4608" width="8.85546875" style="47"/>
    <col min="4609" max="4609" width="29.28515625" style="47" customWidth="1"/>
    <col min="4610" max="4618" width="10.42578125" style="47" customWidth="1"/>
    <col min="4619" max="4619" width="13.7109375" style="47" customWidth="1"/>
    <col min="4620" max="4624" width="9.42578125" style="47" customWidth="1"/>
    <col min="4625" max="4625" width="9.28515625" style="47" bestFit="1" customWidth="1"/>
    <col min="4626" max="4628" width="9.7109375" style="47" bestFit="1" customWidth="1"/>
    <col min="4629" max="4629" width="9.28515625" style="47" bestFit="1" customWidth="1"/>
    <col min="4630" max="4864" width="8.85546875" style="47"/>
    <col min="4865" max="4865" width="29.28515625" style="47" customWidth="1"/>
    <col min="4866" max="4874" width="10.42578125" style="47" customWidth="1"/>
    <col min="4875" max="4875" width="13.7109375" style="47" customWidth="1"/>
    <col min="4876" max="4880" width="9.42578125" style="47" customWidth="1"/>
    <col min="4881" max="4881" width="9.28515625" style="47" bestFit="1" customWidth="1"/>
    <col min="4882" max="4884" width="9.7109375" style="47" bestFit="1" customWidth="1"/>
    <col min="4885" max="4885" width="9.28515625" style="47" bestFit="1" customWidth="1"/>
    <col min="4886" max="5120" width="8.85546875" style="47"/>
    <col min="5121" max="5121" width="29.28515625" style="47" customWidth="1"/>
    <col min="5122" max="5130" width="10.42578125" style="47" customWidth="1"/>
    <col min="5131" max="5131" width="13.7109375" style="47" customWidth="1"/>
    <col min="5132" max="5136" width="9.42578125" style="47" customWidth="1"/>
    <col min="5137" max="5137" width="9.28515625" style="47" bestFit="1" customWidth="1"/>
    <col min="5138" max="5140" width="9.7109375" style="47" bestFit="1" customWidth="1"/>
    <col min="5141" max="5141" width="9.28515625" style="47" bestFit="1" customWidth="1"/>
    <col min="5142" max="5376" width="8.85546875" style="47"/>
    <col min="5377" max="5377" width="29.28515625" style="47" customWidth="1"/>
    <col min="5378" max="5386" width="10.42578125" style="47" customWidth="1"/>
    <col min="5387" max="5387" width="13.7109375" style="47" customWidth="1"/>
    <col min="5388" max="5392" width="9.42578125" style="47" customWidth="1"/>
    <col min="5393" max="5393" width="9.28515625" style="47" bestFit="1" customWidth="1"/>
    <col min="5394" max="5396" width="9.7109375" style="47" bestFit="1" customWidth="1"/>
    <col min="5397" max="5397" width="9.28515625" style="47" bestFit="1" customWidth="1"/>
    <col min="5398" max="5632" width="8.85546875" style="47"/>
    <col min="5633" max="5633" width="29.28515625" style="47" customWidth="1"/>
    <col min="5634" max="5642" width="10.42578125" style="47" customWidth="1"/>
    <col min="5643" max="5643" width="13.7109375" style="47" customWidth="1"/>
    <col min="5644" max="5648" width="9.42578125" style="47" customWidth="1"/>
    <col min="5649" max="5649" width="9.28515625" style="47" bestFit="1" customWidth="1"/>
    <col min="5650" max="5652" width="9.7109375" style="47" bestFit="1" customWidth="1"/>
    <col min="5653" max="5653" width="9.28515625" style="47" bestFit="1" customWidth="1"/>
    <col min="5654" max="5888" width="8.85546875" style="47"/>
    <col min="5889" max="5889" width="29.28515625" style="47" customWidth="1"/>
    <col min="5890" max="5898" width="10.42578125" style="47" customWidth="1"/>
    <col min="5899" max="5899" width="13.7109375" style="47" customWidth="1"/>
    <col min="5900" max="5904" width="9.42578125" style="47" customWidth="1"/>
    <col min="5905" max="5905" width="9.28515625" style="47" bestFit="1" customWidth="1"/>
    <col min="5906" max="5908" width="9.7109375" style="47" bestFit="1" customWidth="1"/>
    <col min="5909" max="5909" width="9.28515625" style="47" bestFit="1" customWidth="1"/>
    <col min="5910" max="6144" width="8.85546875" style="47"/>
    <col min="6145" max="6145" width="29.28515625" style="47" customWidth="1"/>
    <col min="6146" max="6154" width="10.42578125" style="47" customWidth="1"/>
    <col min="6155" max="6155" width="13.7109375" style="47" customWidth="1"/>
    <col min="6156" max="6160" width="9.42578125" style="47" customWidth="1"/>
    <col min="6161" max="6161" width="9.28515625" style="47" bestFit="1" customWidth="1"/>
    <col min="6162" max="6164" width="9.7109375" style="47" bestFit="1" customWidth="1"/>
    <col min="6165" max="6165" width="9.28515625" style="47" bestFit="1" customWidth="1"/>
    <col min="6166" max="6400" width="8.85546875" style="47"/>
    <col min="6401" max="6401" width="29.28515625" style="47" customWidth="1"/>
    <col min="6402" max="6410" width="10.42578125" style="47" customWidth="1"/>
    <col min="6411" max="6411" width="13.7109375" style="47" customWidth="1"/>
    <col min="6412" max="6416" width="9.42578125" style="47" customWidth="1"/>
    <col min="6417" max="6417" width="9.28515625" style="47" bestFit="1" customWidth="1"/>
    <col min="6418" max="6420" width="9.7109375" style="47" bestFit="1" customWidth="1"/>
    <col min="6421" max="6421" width="9.28515625" style="47" bestFit="1" customWidth="1"/>
    <col min="6422" max="6656" width="8.85546875" style="47"/>
    <col min="6657" max="6657" width="29.28515625" style="47" customWidth="1"/>
    <col min="6658" max="6666" width="10.42578125" style="47" customWidth="1"/>
    <col min="6667" max="6667" width="13.7109375" style="47" customWidth="1"/>
    <col min="6668" max="6672" width="9.42578125" style="47" customWidth="1"/>
    <col min="6673" max="6673" width="9.28515625" style="47" bestFit="1" customWidth="1"/>
    <col min="6674" max="6676" width="9.7109375" style="47" bestFit="1" customWidth="1"/>
    <col min="6677" max="6677" width="9.28515625" style="47" bestFit="1" customWidth="1"/>
    <col min="6678" max="6912" width="8.85546875" style="47"/>
    <col min="6913" max="6913" width="29.28515625" style="47" customWidth="1"/>
    <col min="6914" max="6922" width="10.42578125" style="47" customWidth="1"/>
    <col min="6923" max="6923" width="13.7109375" style="47" customWidth="1"/>
    <col min="6924" max="6928" width="9.42578125" style="47" customWidth="1"/>
    <col min="6929" max="6929" width="9.28515625" style="47" bestFit="1" customWidth="1"/>
    <col min="6930" max="6932" width="9.7109375" style="47" bestFit="1" customWidth="1"/>
    <col min="6933" max="6933" width="9.28515625" style="47" bestFit="1" customWidth="1"/>
    <col min="6934" max="7168" width="8.85546875" style="47"/>
    <col min="7169" max="7169" width="29.28515625" style="47" customWidth="1"/>
    <col min="7170" max="7178" width="10.42578125" style="47" customWidth="1"/>
    <col min="7179" max="7179" width="13.7109375" style="47" customWidth="1"/>
    <col min="7180" max="7184" width="9.42578125" style="47" customWidth="1"/>
    <col min="7185" max="7185" width="9.28515625" style="47" bestFit="1" customWidth="1"/>
    <col min="7186" max="7188" width="9.7109375" style="47" bestFit="1" customWidth="1"/>
    <col min="7189" max="7189" width="9.28515625" style="47" bestFit="1" customWidth="1"/>
    <col min="7190" max="7424" width="8.85546875" style="47"/>
    <col min="7425" max="7425" width="29.28515625" style="47" customWidth="1"/>
    <col min="7426" max="7434" width="10.42578125" style="47" customWidth="1"/>
    <col min="7435" max="7435" width="13.7109375" style="47" customWidth="1"/>
    <col min="7436" max="7440" width="9.42578125" style="47" customWidth="1"/>
    <col min="7441" max="7441" width="9.28515625" style="47" bestFit="1" customWidth="1"/>
    <col min="7442" max="7444" width="9.7109375" style="47" bestFit="1" customWidth="1"/>
    <col min="7445" max="7445" width="9.28515625" style="47" bestFit="1" customWidth="1"/>
    <col min="7446" max="7680" width="8.85546875" style="47"/>
    <col min="7681" max="7681" width="29.28515625" style="47" customWidth="1"/>
    <col min="7682" max="7690" width="10.42578125" style="47" customWidth="1"/>
    <col min="7691" max="7691" width="13.7109375" style="47" customWidth="1"/>
    <col min="7692" max="7696" width="9.42578125" style="47" customWidth="1"/>
    <col min="7697" max="7697" width="9.28515625" style="47" bestFit="1" customWidth="1"/>
    <col min="7698" max="7700" width="9.7109375" style="47" bestFit="1" customWidth="1"/>
    <col min="7701" max="7701" width="9.28515625" style="47" bestFit="1" customWidth="1"/>
    <col min="7702" max="7936" width="8.85546875" style="47"/>
    <col min="7937" max="7937" width="29.28515625" style="47" customWidth="1"/>
    <col min="7938" max="7946" width="10.42578125" style="47" customWidth="1"/>
    <col min="7947" max="7947" width="13.7109375" style="47" customWidth="1"/>
    <col min="7948" max="7952" width="9.42578125" style="47" customWidth="1"/>
    <col min="7953" max="7953" width="9.28515625" style="47" bestFit="1" customWidth="1"/>
    <col min="7954" max="7956" width="9.7109375" style="47" bestFit="1" customWidth="1"/>
    <col min="7957" max="7957" width="9.28515625" style="47" bestFit="1" customWidth="1"/>
    <col min="7958" max="8192" width="8.85546875" style="47"/>
    <col min="8193" max="8193" width="29.28515625" style="47" customWidth="1"/>
    <col min="8194" max="8202" width="10.42578125" style="47" customWidth="1"/>
    <col min="8203" max="8203" width="13.7109375" style="47" customWidth="1"/>
    <col min="8204" max="8208" width="9.42578125" style="47" customWidth="1"/>
    <col min="8209" max="8209" width="9.28515625" style="47" bestFit="1" customWidth="1"/>
    <col min="8210" max="8212" width="9.7109375" style="47" bestFit="1" customWidth="1"/>
    <col min="8213" max="8213" width="9.28515625" style="47" bestFit="1" customWidth="1"/>
    <col min="8214" max="8448" width="8.85546875" style="47"/>
    <col min="8449" max="8449" width="29.28515625" style="47" customWidth="1"/>
    <col min="8450" max="8458" width="10.42578125" style="47" customWidth="1"/>
    <col min="8459" max="8459" width="13.7109375" style="47" customWidth="1"/>
    <col min="8460" max="8464" width="9.42578125" style="47" customWidth="1"/>
    <col min="8465" max="8465" width="9.28515625" style="47" bestFit="1" customWidth="1"/>
    <col min="8466" max="8468" width="9.7109375" style="47" bestFit="1" customWidth="1"/>
    <col min="8469" max="8469" width="9.28515625" style="47" bestFit="1" customWidth="1"/>
    <col min="8470" max="8704" width="8.85546875" style="47"/>
    <col min="8705" max="8705" width="29.28515625" style="47" customWidth="1"/>
    <col min="8706" max="8714" width="10.42578125" style="47" customWidth="1"/>
    <col min="8715" max="8715" width="13.7109375" style="47" customWidth="1"/>
    <col min="8716" max="8720" width="9.42578125" style="47" customWidth="1"/>
    <col min="8721" max="8721" width="9.28515625" style="47" bestFit="1" customWidth="1"/>
    <col min="8722" max="8724" width="9.7109375" style="47" bestFit="1" customWidth="1"/>
    <col min="8725" max="8725" width="9.28515625" style="47" bestFit="1" customWidth="1"/>
    <col min="8726" max="8960" width="8.85546875" style="47"/>
    <col min="8961" max="8961" width="29.28515625" style="47" customWidth="1"/>
    <col min="8962" max="8970" width="10.42578125" style="47" customWidth="1"/>
    <col min="8971" max="8971" width="13.7109375" style="47" customWidth="1"/>
    <col min="8972" max="8976" width="9.42578125" style="47" customWidth="1"/>
    <col min="8977" max="8977" width="9.28515625" style="47" bestFit="1" customWidth="1"/>
    <col min="8978" max="8980" width="9.7109375" style="47" bestFit="1" customWidth="1"/>
    <col min="8981" max="8981" width="9.28515625" style="47" bestFit="1" customWidth="1"/>
    <col min="8982" max="9216" width="8.85546875" style="47"/>
    <col min="9217" max="9217" width="29.28515625" style="47" customWidth="1"/>
    <col min="9218" max="9226" width="10.42578125" style="47" customWidth="1"/>
    <col min="9227" max="9227" width="13.7109375" style="47" customWidth="1"/>
    <col min="9228" max="9232" width="9.42578125" style="47" customWidth="1"/>
    <col min="9233" max="9233" width="9.28515625" style="47" bestFit="1" customWidth="1"/>
    <col min="9234" max="9236" width="9.7109375" style="47" bestFit="1" customWidth="1"/>
    <col min="9237" max="9237" width="9.28515625" style="47" bestFit="1" customWidth="1"/>
    <col min="9238" max="9472" width="8.85546875" style="47"/>
    <col min="9473" max="9473" width="29.28515625" style="47" customWidth="1"/>
    <col min="9474" max="9482" width="10.42578125" style="47" customWidth="1"/>
    <col min="9483" max="9483" width="13.7109375" style="47" customWidth="1"/>
    <col min="9484" max="9488" width="9.42578125" style="47" customWidth="1"/>
    <col min="9489" max="9489" width="9.28515625" style="47" bestFit="1" customWidth="1"/>
    <col min="9490" max="9492" width="9.7109375" style="47" bestFit="1" customWidth="1"/>
    <col min="9493" max="9493" width="9.28515625" style="47" bestFit="1" customWidth="1"/>
    <col min="9494" max="9728" width="8.85546875" style="47"/>
    <col min="9729" max="9729" width="29.28515625" style="47" customWidth="1"/>
    <col min="9730" max="9738" width="10.42578125" style="47" customWidth="1"/>
    <col min="9739" max="9739" width="13.7109375" style="47" customWidth="1"/>
    <col min="9740" max="9744" width="9.42578125" style="47" customWidth="1"/>
    <col min="9745" max="9745" width="9.28515625" style="47" bestFit="1" customWidth="1"/>
    <col min="9746" max="9748" width="9.7109375" style="47" bestFit="1" customWidth="1"/>
    <col min="9749" max="9749" width="9.28515625" style="47" bestFit="1" customWidth="1"/>
    <col min="9750" max="9984" width="8.85546875" style="47"/>
    <col min="9985" max="9985" width="29.28515625" style="47" customWidth="1"/>
    <col min="9986" max="9994" width="10.42578125" style="47" customWidth="1"/>
    <col min="9995" max="9995" width="13.7109375" style="47" customWidth="1"/>
    <col min="9996" max="10000" width="9.42578125" style="47" customWidth="1"/>
    <col min="10001" max="10001" width="9.28515625" style="47" bestFit="1" customWidth="1"/>
    <col min="10002" max="10004" width="9.7109375" style="47" bestFit="1" customWidth="1"/>
    <col min="10005" max="10005" width="9.28515625" style="47" bestFit="1" customWidth="1"/>
    <col min="10006" max="10240" width="8.85546875" style="47"/>
    <col min="10241" max="10241" width="29.28515625" style="47" customWidth="1"/>
    <col min="10242" max="10250" width="10.42578125" style="47" customWidth="1"/>
    <col min="10251" max="10251" width="13.7109375" style="47" customWidth="1"/>
    <col min="10252" max="10256" width="9.42578125" style="47" customWidth="1"/>
    <col min="10257" max="10257" width="9.28515625" style="47" bestFit="1" customWidth="1"/>
    <col min="10258" max="10260" width="9.7109375" style="47" bestFit="1" customWidth="1"/>
    <col min="10261" max="10261" width="9.28515625" style="47" bestFit="1" customWidth="1"/>
    <col min="10262" max="10496" width="8.85546875" style="47"/>
    <col min="10497" max="10497" width="29.28515625" style="47" customWidth="1"/>
    <col min="10498" max="10506" width="10.42578125" style="47" customWidth="1"/>
    <col min="10507" max="10507" width="13.7109375" style="47" customWidth="1"/>
    <col min="10508" max="10512" width="9.42578125" style="47" customWidth="1"/>
    <col min="10513" max="10513" width="9.28515625" style="47" bestFit="1" customWidth="1"/>
    <col min="10514" max="10516" width="9.7109375" style="47" bestFit="1" customWidth="1"/>
    <col min="10517" max="10517" width="9.28515625" style="47" bestFit="1" customWidth="1"/>
    <col min="10518" max="10752" width="8.85546875" style="47"/>
    <col min="10753" max="10753" width="29.28515625" style="47" customWidth="1"/>
    <col min="10754" max="10762" width="10.42578125" style="47" customWidth="1"/>
    <col min="10763" max="10763" width="13.7109375" style="47" customWidth="1"/>
    <col min="10764" max="10768" width="9.42578125" style="47" customWidth="1"/>
    <col min="10769" max="10769" width="9.28515625" style="47" bestFit="1" customWidth="1"/>
    <col min="10770" max="10772" width="9.7109375" style="47" bestFit="1" customWidth="1"/>
    <col min="10773" max="10773" width="9.28515625" style="47" bestFit="1" customWidth="1"/>
    <col min="10774" max="11008" width="8.85546875" style="47"/>
    <col min="11009" max="11009" width="29.28515625" style="47" customWidth="1"/>
    <col min="11010" max="11018" width="10.42578125" style="47" customWidth="1"/>
    <col min="11019" max="11019" width="13.7109375" style="47" customWidth="1"/>
    <col min="11020" max="11024" width="9.42578125" style="47" customWidth="1"/>
    <col min="11025" max="11025" width="9.28515625" style="47" bestFit="1" customWidth="1"/>
    <col min="11026" max="11028" width="9.7109375" style="47" bestFit="1" customWidth="1"/>
    <col min="11029" max="11029" width="9.28515625" style="47" bestFit="1" customWidth="1"/>
    <col min="11030" max="11264" width="8.85546875" style="47"/>
    <col min="11265" max="11265" width="29.28515625" style="47" customWidth="1"/>
    <col min="11266" max="11274" width="10.42578125" style="47" customWidth="1"/>
    <col min="11275" max="11275" width="13.7109375" style="47" customWidth="1"/>
    <col min="11276" max="11280" width="9.42578125" style="47" customWidth="1"/>
    <col min="11281" max="11281" width="9.28515625" style="47" bestFit="1" customWidth="1"/>
    <col min="11282" max="11284" width="9.7109375" style="47" bestFit="1" customWidth="1"/>
    <col min="11285" max="11285" width="9.28515625" style="47" bestFit="1" customWidth="1"/>
    <col min="11286" max="11520" width="8.85546875" style="47"/>
    <col min="11521" max="11521" width="29.28515625" style="47" customWidth="1"/>
    <col min="11522" max="11530" width="10.42578125" style="47" customWidth="1"/>
    <col min="11531" max="11531" width="13.7109375" style="47" customWidth="1"/>
    <col min="11532" max="11536" width="9.42578125" style="47" customWidth="1"/>
    <col min="11537" max="11537" width="9.28515625" style="47" bestFit="1" customWidth="1"/>
    <col min="11538" max="11540" width="9.7109375" style="47" bestFit="1" customWidth="1"/>
    <col min="11541" max="11541" width="9.28515625" style="47" bestFit="1" customWidth="1"/>
    <col min="11542" max="11776" width="8.85546875" style="47"/>
    <col min="11777" max="11777" width="29.28515625" style="47" customWidth="1"/>
    <col min="11778" max="11786" width="10.42578125" style="47" customWidth="1"/>
    <col min="11787" max="11787" width="13.7109375" style="47" customWidth="1"/>
    <col min="11788" max="11792" width="9.42578125" style="47" customWidth="1"/>
    <col min="11793" max="11793" width="9.28515625" style="47" bestFit="1" customWidth="1"/>
    <col min="11794" max="11796" width="9.7109375" style="47" bestFit="1" customWidth="1"/>
    <col min="11797" max="11797" width="9.28515625" style="47" bestFit="1" customWidth="1"/>
    <col min="11798" max="12032" width="8.85546875" style="47"/>
    <col min="12033" max="12033" width="29.28515625" style="47" customWidth="1"/>
    <col min="12034" max="12042" width="10.42578125" style="47" customWidth="1"/>
    <col min="12043" max="12043" width="13.7109375" style="47" customWidth="1"/>
    <col min="12044" max="12048" width="9.42578125" style="47" customWidth="1"/>
    <col min="12049" max="12049" width="9.28515625" style="47" bestFit="1" customWidth="1"/>
    <col min="12050" max="12052" width="9.7109375" style="47" bestFit="1" customWidth="1"/>
    <col min="12053" max="12053" width="9.28515625" style="47" bestFit="1" customWidth="1"/>
    <col min="12054" max="12288" width="8.85546875" style="47"/>
    <col min="12289" max="12289" width="29.28515625" style="47" customWidth="1"/>
    <col min="12290" max="12298" width="10.42578125" style="47" customWidth="1"/>
    <col min="12299" max="12299" width="13.7109375" style="47" customWidth="1"/>
    <col min="12300" max="12304" width="9.42578125" style="47" customWidth="1"/>
    <col min="12305" max="12305" width="9.28515625" style="47" bestFit="1" customWidth="1"/>
    <col min="12306" max="12308" width="9.7109375" style="47" bestFit="1" customWidth="1"/>
    <col min="12309" max="12309" width="9.28515625" style="47" bestFit="1" customWidth="1"/>
    <col min="12310" max="12544" width="8.85546875" style="47"/>
    <col min="12545" max="12545" width="29.28515625" style="47" customWidth="1"/>
    <col min="12546" max="12554" width="10.42578125" style="47" customWidth="1"/>
    <col min="12555" max="12555" width="13.7109375" style="47" customWidth="1"/>
    <col min="12556" max="12560" width="9.42578125" style="47" customWidth="1"/>
    <col min="12561" max="12561" width="9.28515625" style="47" bestFit="1" customWidth="1"/>
    <col min="12562" max="12564" width="9.7109375" style="47" bestFit="1" customWidth="1"/>
    <col min="12565" max="12565" width="9.28515625" style="47" bestFit="1" customWidth="1"/>
    <col min="12566" max="12800" width="8.85546875" style="47"/>
    <col min="12801" max="12801" width="29.28515625" style="47" customWidth="1"/>
    <col min="12802" max="12810" width="10.42578125" style="47" customWidth="1"/>
    <col min="12811" max="12811" width="13.7109375" style="47" customWidth="1"/>
    <col min="12812" max="12816" width="9.42578125" style="47" customWidth="1"/>
    <col min="12817" max="12817" width="9.28515625" style="47" bestFit="1" customWidth="1"/>
    <col min="12818" max="12820" width="9.7109375" style="47" bestFit="1" customWidth="1"/>
    <col min="12821" max="12821" width="9.28515625" style="47" bestFit="1" customWidth="1"/>
    <col min="12822" max="13056" width="8.85546875" style="47"/>
    <col min="13057" max="13057" width="29.28515625" style="47" customWidth="1"/>
    <col min="13058" max="13066" width="10.42578125" style="47" customWidth="1"/>
    <col min="13067" max="13067" width="13.7109375" style="47" customWidth="1"/>
    <col min="13068" max="13072" width="9.42578125" style="47" customWidth="1"/>
    <col min="13073" max="13073" width="9.28515625" style="47" bestFit="1" customWidth="1"/>
    <col min="13074" max="13076" width="9.7109375" style="47" bestFit="1" customWidth="1"/>
    <col min="13077" max="13077" width="9.28515625" style="47" bestFit="1" customWidth="1"/>
    <col min="13078" max="13312" width="8.85546875" style="47"/>
    <col min="13313" max="13313" width="29.28515625" style="47" customWidth="1"/>
    <col min="13314" max="13322" width="10.42578125" style="47" customWidth="1"/>
    <col min="13323" max="13323" width="13.7109375" style="47" customWidth="1"/>
    <col min="13324" max="13328" width="9.42578125" style="47" customWidth="1"/>
    <col min="13329" max="13329" width="9.28515625" style="47" bestFit="1" customWidth="1"/>
    <col min="13330" max="13332" width="9.7109375" style="47" bestFit="1" customWidth="1"/>
    <col min="13333" max="13333" width="9.28515625" style="47" bestFit="1" customWidth="1"/>
    <col min="13334" max="13568" width="8.85546875" style="47"/>
    <col min="13569" max="13569" width="29.28515625" style="47" customWidth="1"/>
    <col min="13570" max="13578" width="10.42578125" style="47" customWidth="1"/>
    <col min="13579" max="13579" width="13.7109375" style="47" customWidth="1"/>
    <col min="13580" max="13584" width="9.42578125" style="47" customWidth="1"/>
    <col min="13585" max="13585" width="9.28515625" style="47" bestFit="1" customWidth="1"/>
    <col min="13586" max="13588" width="9.7109375" style="47" bestFit="1" customWidth="1"/>
    <col min="13589" max="13589" width="9.28515625" style="47" bestFit="1" customWidth="1"/>
    <col min="13590" max="13824" width="8.85546875" style="47"/>
    <col min="13825" max="13825" width="29.28515625" style="47" customWidth="1"/>
    <col min="13826" max="13834" width="10.42578125" style="47" customWidth="1"/>
    <col min="13835" max="13835" width="13.7109375" style="47" customWidth="1"/>
    <col min="13836" max="13840" width="9.42578125" style="47" customWidth="1"/>
    <col min="13841" max="13841" width="9.28515625" style="47" bestFit="1" customWidth="1"/>
    <col min="13842" max="13844" width="9.7109375" style="47" bestFit="1" customWidth="1"/>
    <col min="13845" max="13845" width="9.28515625" style="47" bestFit="1" customWidth="1"/>
    <col min="13846" max="14080" width="8.85546875" style="47"/>
    <col min="14081" max="14081" width="29.28515625" style="47" customWidth="1"/>
    <col min="14082" max="14090" width="10.42578125" style="47" customWidth="1"/>
    <col min="14091" max="14091" width="13.7109375" style="47" customWidth="1"/>
    <col min="14092" max="14096" width="9.42578125" style="47" customWidth="1"/>
    <col min="14097" max="14097" width="9.28515625" style="47" bestFit="1" customWidth="1"/>
    <col min="14098" max="14100" width="9.7109375" style="47" bestFit="1" customWidth="1"/>
    <col min="14101" max="14101" width="9.28515625" style="47" bestFit="1" customWidth="1"/>
    <col min="14102" max="14336" width="8.85546875" style="47"/>
    <col min="14337" max="14337" width="29.28515625" style="47" customWidth="1"/>
    <col min="14338" max="14346" width="10.42578125" style="47" customWidth="1"/>
    <col min="14347" max="14347" width="13.7109375" style="47" customWidth="1"/>
    <col min="14348" max="14352" width="9.42578125" style="47" customWidth="1"/>
    <col min="14353" max="14353" width="9.28515625" style="47" bestFit="1" customWidth="1"/>
    <col min="14354" max="14356" width="9.7109375" style="47" bestFit="1" customWidth="1"/>
    <col min="14357" max="14357" width="9.28515625" style="47" bestFit="1" customWidth="1"/>
    <col min="14358" max="14592" width="8.85546875" style="47"/>
    <col min="14593" max="14593" width="29.28515625" style="47" customWidth="1"/>
    <col min="14594" max="14602" width="10.42578125" style="47" customWidth="1"/>
    <col min="14603" max="14603" width="13.7109375" style="47" customWidth="1"/>
    <col min="14604" max="14608" width="9.42578125" style="47" customWidth="1"/>
    <col min="14609" max="14609" width="9.28515625" style="47" bestFit="1" customWidth="1"/>
    <col min="14610" max="14612" width="9.7109375" style="47" bestFit="1" customWidth="1"/>
    <col min="14613" max="14613" width="9.28515625" style="47" bestFit="1" customWidth="1"/>
    <col min="14614" max="14848" width="8.85546875" style="47"/>
    <col min="14849" max="14849" width="29.28515625" style="47" customWidth="1"/>
    <col min="14850" max="14858" width="10.42578125" style="47" customWidth="1"/>
    <col min="14859" max="14859" width="13.7109375" style="47" customWidth="1"/>
    <col min="14860" max="14864" width="9.42578125" style="47" customWidth="1"/>
    <col min="14865" max="14865" width="9.28515625" style="47" bestFit="1" customWidth="1"/>
    <col min="14866" max="14868" width="9.7109375" style="47" bestFit="1" customWidth="1"/>
    <col min="14869" max="14869" width="9.28515625" style="47" bestFit="1" customWidth="1"/>
    <col min="14870" max="15104" width="8.85546875" style="47"/>
    <col min="15105" max="15105" width="29.28515625" style="47" customWidth="1"/>
    <col min="15106" max="15114" width="10.42578125" style="47" customWidth="1"/>
    <col min="15115" max="15115" width="13.7109375" style="47" customWidth="1"/>
    <col min="15116" max="15120" width="9.42578125" style="47" customWidth="1"/>
    <col min="15121" max="15121" width="9.28515625" style="47" bestFit="1" customWidth="1"/>
    <col min="15122" max="15124" width="9.7109375" style="47" bestFit="1" customWidth="1"/>
    <col min="15125" max="15125" width="9.28515625" style="47" bestFit="1" customWidth="1"/>
    <col min="15126" max="15360" width="8.85546875" style="47"/>
    <col min="15361" max="15361" width="29.28515625" style="47" customWidth="1"/>
    <col min="15362" max="15370" width="10.42578125" style="47" customWidth="1"/>
    <col min="15371" max="15371" width="13.7109375" style="47" customWidth="1"/>
    <col min="15372" max="15376" width="9.42578125" style="47" customWidth="1"/>
    <col min="15377" max="15377" width="9.28515625" style="47" bestFit="1" customWidth="1"/>
    <col min="15378" max="15380" width="9.7109375" style="47" bestFit="1" customWidth="1"/>
    <col min="15381" max="15381" width="9.28515625" style="47" bestFit="1" customWidth="1"/>
    <col min="15382" max="15616" width="8.85546875" style="47"/>
    <col min="15617" max="15617" width="29.28515625" style="47" customWidth="1"/>
    <col min="15618" max="15626" width="10.42578125" style="47" customWidth="1"/>
    <col min="15627" max="15627" width="13.7109375" style="47" customWidth="1"/>
    <col min="15628" max="15632" width="9.42578125" style="47" customWidth="1"/>
    <col min="15633" max="15633" width="9.28515625" style="47" bestFit="1" customWidth="1"/>
    <col min="15634" max="15636" width="9.7109375" style="47" bestFit="1" customWidth="1"/>
    <col min="15637" max="15637" width="9.28515625" style="47" bestFit="1" customWidth="1"/>
    <col min="15638" max="15872" width="8.85546875" style="47"/>
    <col min="15873" max="15873" width="29.28515625" style="47" customWidth="1"/>
    <col min="15874" max="15882" width="10.42578125" style="47" customWidth="1"/>
    <col min="15883" max="15883" width="13.7109375" style="47" customWidth="1"/>
    <col min="15884" max="15888" width="9.42578125" style="47" customWidth="1"/>
    <col min="15889" max="15889" width="9.28515625" style="47" bestFit="1" customWidth="1"/>
    <col min="15890" max="15892" width="9.7109375" style="47" bestFit="1" customWidth="1"/>
    <col min="15893" max="15893" width="9.28515625" style="47" bestFit="1" customWidth="1"/>
    <col min="15894" max="16128" width="8.85546875" style="47"/>
    <col min="16129" max="16129" width="29.28515625" style="47" customWidth="1"/>
    <col min="16130" max="16138" width="10.42578125" style="47" customWidth="1"/>
    <col min="16139" max="16139" width="13.7109375" style="47" customWidth="1"/>
    <col min="16140" max="16144" width="9.42578125" style="47" customWidth="1"/>
    <col min="16145" max="16145" width="9.28515625" style="47" bestFit="1" customWidth="1"/>
    <col min="16146" max="16148" width="9.7109375" style="47" bestFit="1" customWidth="1"/>
    <col min="16149" max="16149" width="9.28515625" style="47" bestFit="1" customWidth="1"/>
    <col min="16150" max="16384" width="8.85546875" style="47"/>
  </cols>
  <sheetData>
    <row r="6" spans="1:254" ht="15.75">
      <c r="A6" s="56" t="s">
        <v>110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143" t="s">
        <v>1</v>
      </c>
      <c r="M6" s="143"/>
      <c r="N6" s="143"/>
      <c r="O6" s="143"/>
      <c r="P6" s="143"/>
      <c r="Q6" s="143"/>
      <c r="R6" s="143"/>
      <c r="S6" s="143"/>
      <c r="T6" s="143"/>
      <c r="U6" s="143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54" ht="21.75">
      <c r="A7" s="36" t="s">
        <v>2</v>
      </c>
      <c r="B7" s="57">
        <v>39447</v>
      </c>
      <c r="C7" s="57">
        <v>39813</v>
      </c>
      <c r="D7" s="57">
        <v>40178</v>
      </c>
      <c r="E7" s="57">
        <v>40543</v>
      </c>
      <c r="F7" s="57">
        <v>40908</v>
      </c>
      <c r="G7" s="57">
        <v>41274</v>
      </c>
      <c r="H7" s="57">
        <v>41639</v>
      </c>
      <c r="I7" s="57">
        <v>42004</v>
      </c>
      <c r="J7" s="57">
        <v>42369</v>
      </c>
      <c r="K7" s="57">
        <v>42735</v>
      </c>
      <c r="L7" s="54">
        <v>2017</v>
      </c>
      <c r="M7" s="54">
        <v>2018</v>
      </c>
      <c r="N7" s="54">
        <v>2019</v>
      </c>
      <c r="O7" s="54">
        <v>2020</v>
      </c>
      <c r="P7" s="54">
        <v>2021</v>
      </c>
      <c r="Q7" s="54">
        <v>2022</v>
      </c>
      <c r="R7" s="54">
        <v>2023</v>
      </c>
      <c r="S7" s="54">
        <v>2024</v>
      </c>
      <c r="T7" s="54">
        <v>2025</v>
      </c>
      <c r="U7" s="54">
        <v>2026</v>
      </c>
    </row>
    <row r="8" spans="1:254">
      <c r="A8" s="37" t="s">
        <v>13</v>
      </c>
      <c r="B8" s="38" t="s">
        <v>14</v>
      </c>
      <c r="C8" s="38" t="s">
        <v>14</v>
      </c>
      <c r="D8" s="38" t="s">
        <v>14</v>
      </c>
      <c r="E8" s="38" t="s">
        <v>14</v>
      </c>
      <c r="F8" s="38" t="s">
        <v>14</v>
      </c>
      <c r="G8" s="38" t="s">
        <v>14</v>
      </c>
      <c r="H8" s="38" t="s">
        <v>14</v>
      </c>
      <c r="I8" s="38" t="s">
        <v>14</v>
      </c>
      <c r="J8" s="38" t="s">
        <v>14</v>
      </c>
      <c r="K8" s="38" t="s">
        <v>14</v>
      </c>
    </row>
    <row r="9" spans="1:254">
      <c r="A9" s="39" t="s">
        <v>111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254">
      <c r="A10" s="39" t="s">
        <v>112</v>
      </c>
      <c r="B10" s="44">
        <v>932.1</v>
      </c>
      <c r="C10" s="44">
        <v>627.79999999999995</v>
      </c>
      <c r="D10" s="44">
        <v>550</v>
      </c>
      <c r="E10" s="44">
        <v>651</v>
      </c>
      <c r="F10" s="44">
        <v>570</v>
      </c>
      <c r="G10" s="44">
        <v>484</v>
      </c>
      <c r="H10" s="44">
        <v>875</v>
      </c>
      <c r="I10" s="44">
        <v>1476</v>
      </c>
      <c r="J10" s="44">
        <v>1352</v>
      </c>
      <c r="K10" s="44">
        <v>1599</v>
      </c>
      <c r="L10" s="44">
        <f ca="1">'Income Statement'!L50</f>
        <v>1306.8293917322089</v>
      </c>
      <c r="M10" s="44">
        <f ca="1">'Income Statement'!M50</f>
        <v>1407.5076720179813</v>
      </c>
      <c r="N10" s="44">
        <f ca="1">'Income Statement'!N50</f>
        <v>1513.6584042490999</v>
      </c>
      <c r="O10" s="44">
        <f ca="1">'Income Statement'!O50</f>
        <v>1625.6029770204652</v>
      </c>
      <c r="P10" s="44">
        <f ca="1">'Income Statement'!P50</f>
        <v>1743.6806780968232</v>
      </c>
      <c r="Q10" s="44">
        <f ca="1">'Income Statement'!Q50</f>
        <v>1868.2497255134122</v>
      </c>
      <c r="R10" s="44">
        <f ca="1">'Income Statement'!R50</f>
        <v>1999.6883566537699</v>
      </c>
      <c r="S10" s="44">
        <f ca="1">'Income Statement'!S50</f>
        <v>2138.3959786118016</v>
      </c>
      <c r="T10" s="44">
        <f ca="1">'Income Statement'!T50</f>
        <v>2284.7943833316831</v>
      </c>
      <c r="U10" s="44">
        <f ca="1">'Income Statement'!U50</f>
        <v>2439.3290312162339</v>
      </c>
    </row>
    <row r="11" spans="1:254">
      <c r="A11" s="41" t="s">
        <v>23</v>
      </c>
      <c r="B11" s="42">
        <v>427.5</v>
      </c>
      <c r="C11" s="42">
        <v>428.2</v>
      </c>
      <c r="D11" s="42">
        <v>443</v>
      </c>
      <c r="E11" s="42">
        <v>435</v>
      </c>
      <c r="F11" s="42">
        <v>434</v>
      </c>
      <c r="G11" s="42">
        <v>461</v>
      </c>
      <c r="H11" s="42">
        <v>481</v>
      </c>
      <c r="I11" s="42">
        <v>482</v>
      </c>
      <c r="J11" s="42">
        <v>525</v>
      </c>
      <c r="K11" s="42">
        <v>576</v>
      </c>
      <c r="L11" s="42">
        <f ca="1">'Income Statement'!L17</f>
        <v>687.0907833051873</v>
      </c>
      <c r="M11" s="42">
        <f ca="1">'Income Statement'!M17</f>
        <v>718.94620109908112</v>
      </c>
      <c r="N11" s="42">
        <f ca="1">'Income Statement'!N17</f>
        <v>753.09638158602252</v>
      </c>
      <c r="O11" s="42">
        <f ca="1">'Income Statement'!O17</f>
        <v>789.66619178811357</v>
      </c>
      <c r="P11" s="42">
        <f ca="1">'Income Statement'!P17</f>
        <v>828.78858019653535</v>
      </c>
      <c r="Q11" s="42">
        <f ca="1">'Income Statement'!Q17</f>
        <v>870.60504558863465</v>
      </c>
      <c r="R11" s="42">
        <f ca="1">'Income Statement'!R17</f>
        <v>915.26613496228867</v>
      </c>
      <c r="S11" s="42">
        <f ca="1">'Income Statement'!S17</f>
        <v>962.93197232006469</v>
      </c>
      <c r="T11" s="42">
        <f ca="1">'Income Statement'!T17</f>
        <v>1013.7728201415836</v>
      </c>
      <c r="U11" s="42">
        <f ca="1">'Income Statement'!U17</f>
        <v>1067.969675494749</v>
      </c>
    </row>
    <row r="12" spans="1:254">
      <c r="A12" s="41" t="s">
        <v>113</v>
      </c>
      <c r="B12" s="42">
        <v>12.1</v>
      </c>
      <c r="C12" s="42" t="s">
        <v>21</v>
      </c>
      <c r="D12" s="42" t="s">
        <v>21</v>
      </c>
      <c r="E12" s="42" t="s">
        <v>21</v>
      </c>
      <c r="F12" s="42" t="s">
        <v>21</v>
      </c>
      <c r="G12" s="42" t="s">
        <v>21</v>
      </c>
      <c r="H12" s="42" t="s">
        <v>21</v>
      </c>
      <c r="I12" s="42" t="s">
        <v>21</v>
      </c>
      <c r="J12" s="42">
        <v>1</v>
      </c>
      <c r="K12" s="42">
        <v>1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</row>
    <row r="13" spans="1:254">
      <c r="A13" s="92" t="s">
        <v>114</v>
      </c>
      <c r="B13" s="43">
        <v>439.6</v>
      </c>
      <c r="C13" s="43">
        <v>428.2</v>
      </c>
      <c r="D13" s="43">
        <v>443</v>
      </c>
      <c r="E13" s="43">
        <v>435</v>
      </c>
      <c r="F13" s="43">
        <v>434</v>
      </c>
      <c r="G13" s="43">
        <v>461</v>
      </c>
      <c r="H13" s="43">
        <v>481</v>
      </c>
      <c r="I13" s="43">
        <v>482</v>
      </c>
      <c r="J13" s="43">
        <v>526</v>
      </c>
      <c r="K13" s="43">
        <v>577</v>
      </c>
      <c r="L13" s="43">
        <f ca="1">SUM(L11:L12)</f>
        <v>687.0907833051873</v>
      </c>
      <c r="M13" s="43">
        <f t="shared" ref="M13:U13" ca="1" si="0">SUM(M11:M12)</f>
        <v>718.94620109908112</v>
      </c>
      <c r="N13" s="43">
        <f t="shared" ca="1" si="0"/>
        <v>753.09638158602252</v>
      </c>
      <c r="O13" s="43">
        <f t="shared" ca="1" si="0"/>
        <v>789.66619178811357</v>
      </c>
      <c r="P13" s="43">
        <f t="shared" ca="1" si="0"/>
        <v>828.78858019653535</v>
      </c>
      <c r="Q13" s="43">
        <f t="shared" ca="1" si="0"/>
        <v>870.60504558863465</v>
      </c>
      <c r="R13" s="43">
        <f t="shared" ca="1" si="0"/>
        <v>915.26613496228867</v>
      </c>
      <c r="S13" s="43">
        <f t="shared" ca="1" si="0"/>
        <v>962.93197232006469</v>
      </c>
      <c r="T13" s="43">
        <f t="shared" ca="1" si="0"/>
        <v>1013.7728201415836</v>
      </c>
      <c r="U13" s="43">
        <f t="shared" ca="1" si="0"/>
        <v>1067.969675494749</v>
      </c>
    </row>
    <row r="14" spans="1:254">
      <c r="A14" s="41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1:254">
      <c r="A15" s="41" t="s">
        <v>115</v>
      </c>
      <c r="B15" s="42" t="s">
        <v>21</v>
      </c>
      <c r="C15" s="42" t="s">
        <v>21</v>
      </c>
      <c r="D15" s="42">
        <v>40</v>
      </c>
      <c r="E15" s="42">
        <v>54</v>
      </c>
      <c r="F15" s="42">
        <v>56</v>
      </c>
      <c r="G15" s="42">
        <v>78</v>
      </c>
      <c r="H15" s="42">
        <v>84</v>
      </c>
      <c r="I15" s="42">
        <v>70</v>
      </c>
      <c r="J15" s="42">
        <v>69</v>
      </c>
      <c r="K15" s="42">
        <v>63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</row>
    <row r="16" spans="1:254">
      <c r="A16" s="41" t="s">
        <v>116</v>
      </c>
      <c r="B16" s="42" t="s">
        <v>21</v>
      </c>
      <c r="C16" s="42" t="s">
        <v>21</v>
      </c>
      <c r="D16" s="42">
        <v>-79</v>
      </c>
      <c r="E16" s="42" t="s">
        <v>21</v>
      </c>
      <c r="F16" s="42" t="s">
        <v>21</v>
      </c>
      <c r="G16" s="42" t="s">
        <v>21</v>
      </c>
      <c r="H16" s="42" t="s">
        <v>21</v>
      </c>
      <c r="I16" s="42" t="s">
        <v>21</v>
      </c>
      <c r="J16" s="42" t="s">
        <v>21</v>
      </c>
      <c r="K16" s="42" t="s">
        <v>21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</row>
    <row r="17" spans="1:21">
      <c r="A17" s="41" t="s">
        <v>117</v>
      </c>
      <c r="B17" s="42">
        <v>21.5</v>
      </c>
      <c r="C17" s="42" t="s">
        <v>21</v>
      </c>
      <c r="D17" s="42">
        <v>-81</v>
      </c>
      <c r="E17" s="42" t="s">
        <v>21</v>
      </c>
      <c r="F17" s="42" t="s">
        <v>21</v>
      </c>
      <c r="G17" s="42">
        <v>5</v>
      </c>
      <c r="H17" s="42" t="s">
        <v>21</v>
      </c>
      <c r="I17" s="42" t="s">
        <v>21</v>
      </c>
      <c r="J17" s="42" t="s">
        <v>21</v>
      </c>
      <c r="K17" s="42" t="s">
        <v>21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1:21">
      <c r="A18" s="41" t="s">
        <v>118</v>
      </c>
      <c r="B18" s="42">
        <v>-61</v>
      </c>
      <c r="C18" s="42" t="s">
        <v>21</v>
      </c>
      <c r="D18" s="42" t="s">
        <v>21</v>
      </c>
      <c r="E18" s="42" t="s">
        <v>21</v>
      </c>
      <c r="F18" s="42" t="s">
        <v>21</v>
      </c>
      <c r="G18" s="42">
        <v>310</v>
      </c>
      <c r="H18" s="42">
        <v>434</v>
      </c>
      <c r="I18" s="42" t="s">
        <v>21</v>
      </c>
      <c r="J18" s="42" t="s">
        <v>21</v>
      </c>
      <c r="K18" s="42" t="s">
        <v>21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</row>
    <row r="19" spans="1:21">
      <c r="A19" s="41" t="s">
        <v>119</v>
      </c>
      <c r="B19" s="42">
        <v>-12.9</v>
      </c>
      <c r="C19" s="42" t="s">
        <v>21</v>
      </c>
      <c r="D19" s="42" t="s">
        <v>21</v>
      </c>
      <c r="E19" s="42" t="s">
        <v>21</v>
      </c>
      <c r="F19" s="42" t="s">
        <v>21</v>
      </c>
      <c r="G19" s="42" t="s">
        <v>21</v>
      </c>
      <c r="H19" s="42" t="s">
        <v>21</v>
      </c>
      <c r="I19" s="42" t="s">
        <v>21</v>
      </c>
      <c r="J19" s="42" t="s">
        <v>21</v>
      </c>
      <c r="K19" s="42" t="s">
        <v>21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</row>
    <row r="20" spans="1:21">
      <c r="A20" s="41" t="s">
        <v>120</v>
      </c>
      <c r="B20" s="42">
        <v>-93.3</v>
      </c>
      <c r="C20" s="42">
        <v>19.100000000000001</v>
      </c>
      <c r="D20" s="42">
        <v>-525</v>
      </c>
      <c r="E20" s="42">
        <v>-622</v>
      </c>
      <c r="F20" s="42">
        <v>-572</v>
      </c>
      <c r="G20" s="42">
        <v>-5</v>
      </c>
      <c r="H20" s="42">
        <v>78</v>
      </c>
      <c r="I20" s="42">
        <v>219</v>
      </c>
      <c r="J20" s="42">
        <v>237</v>
      </c>
      <c r="K20" s="42">
        <v>-95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>
      <c r="A21" s="41" t="s">
        <v>121</v>
      </c>
      <c r="B21" s="42">
        <v>54.8</v>
      </c>
      <c r="C21" s="42">
        <v>-47.9</v>
      </c>
      <c r="D21" s="42">
        <v>206</v>
      </c>
      <c r="E21" s="42">
        <v>-9</v>
      </c>
      <c r="F21" s="42">
        <v>-69</v>
      </c>
      <c r="G21" s="42">
        <v>-40</v>
      </c>
      <c r="H21" s="42">
        <v>-29</v>
      </c>
      <c r="I21" s="42">
        <v>-112</v>
      </c>
      <c r="J21" s="42">
        <v>80</v>
      </c>
      <c r="K21" s="42">
        <v>44</v>
      </c>
      <c r="L21" s="42">
        <f>-('Balance Sheet'!L15-'Balance Sheet'!K15)</f>
        <v>-51.573337317008168</v>
      </c>
      <c r="M21" s="42">
        <f>-('Balance Sheet'!M15-'Balance Sheet'!L15)</f>
        <v>-37.081291840917629</v>
      </c>
      <c r="N21" s="42">
        <f>-('Balance Sheet'!N15-'Balance Sheet'!M15)</f>
        <v>-39.221159969172845</v>
      </c>
      <c r="O21" s="42">
        <f>-('Balance Sheet'!O15-'Balance Sheet'!N15)</f>
        <v>-41.484514507393783</v>
      </c>
      <c r="P21" s="42">
        <f>-('Balance Sheet'!P15-'Balance Sheet'!O15)</f>
        <v>-43.878481545849581</v>
      </c>
      <c r="Q21" s="42">
        <f>-('Balance Sheet'!Q15-'Balance Sheet'!P15)</f>
        <v>-46.410598403563654</v>
      </c>
      <c r="R21" s="42">
        <f>-('Balance Sheet'!R15-'Balance Sheet'!Q15)</f>
        <v>-49.088837359291119</v>
      </c>
      <c r="S21" s="42">
        <f>-('Balance Sheet'!S15-'Balance Sheet'!R15)</f>
        <v>-51.921630751951056</v>
      </c>
      <c r="T21" s="42">
        <f>-('Balance Sheet'!T15-'Balance Sheet'!S15)</f>
        <v>-54.917897529543325</v>
      </c>
      <c r="U21" s="42">
        <f>-('Balance Sheet'!U15-'Balance Sheet'!T15)</f>
        <v>-58.087071330133085</v>
      </c>
    </row>
    <row r="22" spans="1:21">
      <c r="A22" s="41" t="s">
        <v>122</v>
      </c>
      <c r="B22" s="42">
        <v>-28.7</v>
      </c>
      <c r="C22" s="42">
        <v>-23.4</v>
      </c>
      <c r="D22" s="42">
        <v>76</v>
      </c>
      <c r="E22" s="42">
        <v>23</v>
      </c>
      <c r="F22" s="42">
        <v>-15</v>
      </c>
      <c r="G22" s="42">
        <v>7</v>
      </c>
      <c r="H22" s="42">
        <v>-19</v>
      </c>
      <c r="I22" s="42">
        <v>7</v>
      </c>
      <c r="J22" s="42">
        <v>15</v>
      </c>
      <c r="K22" s="42">
        <v>14</v>
      </c>
      <c r="L22" s="42">
        <f>-('Balance Sheet'!L17-'Balance Sheet'!K17)</f>
        <v>5.9521334239261137</v>
      </c>
      <c r="M22" s="42">
        <f>-('Balance Sheet'!M17-'Balance Sheet'!L17)</f>
        <v>-10.274694760487705</v>
      </c>
      <c r="N22" s="42">
        <f>-('Balance Sheet'!N17-'Balance Sheet'!M17)</f>
        <v>-10.867621564112625</v>
      </c>
      <c r="O22" s="42">
        <f>-('Balance Sheet'!O17-'Balance Sheet'!N17)</f>
        <v>-11.494764682932555</v>
      </c>
      <c r="P22" s="42">
        <f>-('Balance Sheet'!P17-'Balance Sheet'!O17)</f>
        <v>-12.158098654476134</v>
      </c>
      <c r="Q22" s="42">
        <f>-('Balance Sheet'!Q17-'Balance Sheet'!P17)</f>
        <v>-12.859711961868726</v>
      </c>
      <c r="R22" s="42">
        <f>-('Balance Sheet'!R17-'Balance Sheet'!Q17)</f>
        <v>-13.601813609346465</v>
      </c>
      <c r="S22" s="42">
        <f>-('Balance Sheet'!S17-'Balance Sheet'!R17)</f>
        <v>-14.386740077226165</v>
      </c>
      <c r="T22" s="42">
        <f>-('Balance Sheet'!T17-'Balance Sheet'!S17)</f>
        <v>-15.216962678230004</v>
      </c>
      <c r="U22" s="42">
        <f>-('Balance Sheet'!U17-'Balance Sheet'!T17)</f>
        <v>-16.095095338324256</v>
      </c>
    </row>
    <row r="23" spans="1:21">
      <c r="A23" s="41" t="s">
        <v>123</v>
      </c>
      <c r="B23" s="42">
        <v>-45.5</v>
      </c>
      <c r="C23" s="42">
        <v>-39.700000000000003</v>
      </c>
      <c r="D23" s="42">
        <v>-198</v>
      </c>
      <c r="E23" s="42">
        <v>-29</v>
      </c>
      <c r="F23" s="42">
        <v>116</v>
      </c>
      <c r="G23" s="42">
        <v>13</v>
      </c>
      <c r="H23" s="42">
        <v>41</v>
      </c>
      <c r="I23" s="42">
        <v>56</v>
      </c>
      <c r="J23" s="42">
        <v>125</v>
      </c>
      <c r="K23" s="42">
        <v>-95</v>
      </c>
      <c r="L23" s="42">
        <f>'Balance Sheet'!L35-'Balance Sheet'!K35</f>
        <v>26.686995803451225</v>
      </c>
      <c r="M23" s="42">
        <f>'Balance Sheet'!M35-'Balance Sheet'!L35</f>
        <v>21.853074493223914</v>
      </c>
      <c r="N23" s="42">
        <f>'Balance Sheet'!N35-'Balance Sheet'!M35</f>
        <v>23.114160482705017</v>
      </c>
      <c r="O23" s="42">
        <f>'Balance Sheet'!O35-'Balance Sheet'!N35</f>
        <v>24.448020574217253</v>
      </c>
      <c r="P23" s="42">
        <f>'Balance Sheet'!P35-'Balance Sheet'!O35</f>
        <v>25.858854378231797</v>
      </c>
      <c r="Q23" s="42">
        <f>'Balance Sheet'!Q35-'Balance Sheet'!P35</f>
        <v>27.351103854182213</v>
      </c>
      <c r="R23" s="42">
        <f>'Balance Sheet'!R35-'Balance Sheet'!Q35</f>
        <v>28.929467295813595</v>
      </c>
      <c r="S23" s="42">
        <f>'Balance Sheet'!S35-'Balance Sheet'!R35</f>
        <v>30.598914123591044</v>
      </c>
      <c r="T23" s="42">
        <f>'Balance Sheet'!T35-'Balance Sheet'!S35</f>
        <v>32.364700530742198</v>
      </c>
      <c r="U23" s="42">
        <f>'Balance Sheet'!U35-'Balance Sheet'!T35</f>
        <v>34.232386032190561</v>
      </c>
    </row>
    <row r="24" spans="1:21">
      <c r="A24" s="41" t="s">
        <v>124</v>
      </c>
      <c r="B24" s="42">
        <v>53.9</v>
      </c>
      <c r="C24" s="42" t="s">
        <v>21</v>
      </c>
      <c r="D24" s="42" t="s">
        <v>21</v>
      </c>
      <c r="E24" s="42" t="s">
        <v>21</v>
      </c>
      <c r="F24" s="42" t="s">
        <v>21</v>
      </c>
      <c r="G24" s="42" t="s">
        <v>21</v>
      </c>
      <c r="H24" s="42" t="s">
        <v>21</v>
      </c>
      <c r="I24" s="42" t="s">
        <v>21</v>
      </c>
      <c r="J24" s="42" t="s">
        <v>21</v>
      </c>
      <c r="K24" s="42" t="s">
        <v>21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</row>
    <row r="25" spans="1:21">
      <c r="A25" s="41" t="s">
        <v>125</v>
      </c>
      <c r="B25" s="42">
        <v>15.8</v>
      </c>
      <c r="C25" s="42">
        <v>-21.2</v>
      </c>
      <c r="D25" s="42">
        <v>19</v>
      </c>
      <c r="E25" s="42">
        <v>-1</v>
      </c>
      <c r="F25" s="42">
        <v>-8</v>
      </c>
      <c r="G25" s="42">
        <v>15</v>
      </c>
      <c r="H25" s="42">
        <v>5</v>
      </c>
      <c r="I25" s="42">
        <v>-75</v>
      </c>
      <c r="J25" s="42">
        <v>55</v>
      </c>
      <c r="K25" s="42">
        <v>-18</v>
      </c>
      <c r="L25" s="42">
        <f>'Balance Sheet'!L36-'Balance Sheet'!K36</f>
        <v>0</v>
      </c>
      <c r="M25" s="42">
        <f>'Balance Sheet'!M36-'Balance Sheet'!L36</f>
        <v>0</v>
      </c>
      <c r="N25" s="42">
        <f>'Balance Sheet'!N36-'Balance Sheet'!M36</f>
        <v>0</v>
      </c>
      <c r="O25" s="42">
        <f>'Balance Sheet'!O36-'Balance Sheet'!N36</f>
        <v>0</v>
      </c>
      <c r="P25" s="42">
        <f>'Balance Sheet'!P36-'Balance Sheet'!O36</f>
        <v>0</v>
      </c>
      <c r="Q25" s="42">
        <f>'Balance Sheet'!Q36-'Balance Sheet'!P36</f>
        <v>0</v>
      </c>
      <c r="R25" s="42">
        <f>'Balance Sheet'!R36-'Balance Sheet'!Q36</f>
        <v>0</v>
      </c>
      <c r="S25" s="42">
        <f>'Balance Sheet'!S36-'Balance Sheet'!R36</f>
        <v>0</v>
      </c>
      <c r="T25" s="42">
        <f>'Balance Sheet'!T36-'Balance Sheet'!S36</f>
        <v>0</v>
      </c>
      <c r="U25" s="42">
        <f>'Balance Sheet'!U36-'Balance Sheet'!T36</f>
        <v>0</v>
      </c>
    </row>
    <row r="26" spans="1:21">
      <c r="A26" s="39" t="s">
        <v>126</v>
      </c>
      <c r="B26" s="43">
        <v>1276.3</v>
      </c>
      <c r="C26" s="43">
        <v>942.9</v>
      </c>
      <c r="D26" s="43">
        <v>451</v>
      </c>
      <c r="E26" s="43">
        <v>502</v>
      </c>
      <c r="F26" s="43">
        <v>512</v>
      </c>
      <c r="G26" s="43">
        <v>1328</v>
      </c>
      <c r="H26" s="43">
        <v>1950</v>
      </c>
      <c r="I26" s="43">
        <v>2123</v>
      </c>
      <c r="J26" s="43">
        <v>2459</v>
      </c>
      <c r="K26" s="43">
        <v>2089</v>
      </c>
      <c r="L26" s="43">
        <f ca="1">L10+L13+SUM(L15:L25)</f>
        <v>1974.9859669477655</v>
      </c>
      <c r="M26" s="43">
        <f t="shared" ref="M26:U26" ca="1" si="1">M10+M13+SUM(M15:M25)</f>
        <v>2100.9509610088808</v>
      </c>
      <c r="N26" s="43">
        <f t="shared" ca="1" si="1"/>
        <v>2239.7801647845422</v>
      </c>
      <c r="O26" s="43">
        <f t="shared" ca="1" si="1"/>
        <v>2386.7379101924698</v>
      </c>
      <c r="P26" s="43">
        <f t="shared" ca="1" si="1"/>
        <v>2542.2915324712644</v>
      </c>
      <c r="Q26" s="43">
        <f t="shared" ca="1" si="1"/>
        <v>2706.9355645907967</v>
      </c>
      <c r="R26" s="43">
        <f t="shared" ca="1" si="1"/>
        <v>2881.1933079432347</v>
      </c>
      <c r="S26" s="43">
        <f t="shared" ca="1" si="1"/>
        <v>3065.6184942262803</v>
      </c>
      <c r="T26" s="43">
        <f t="shared" ca="1" si="1"/>
        <v>3260.7970437962354</v>
      </c>
      <c r="U26" s="43">
        <f t="shared" ca="1" si="1"/>
        <v>3467.348926074716</v>
      </c>
    </row>
    <row r="27" spans="1:21">
      <c r="A27" s="41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</row>
    <row r="28" spans="1:21">
      <c r="A28" s="41" t="s">
        <v>127</v>
      </c>
      <c r="B28" s="42">
        <v>-836</v>
      </c>
      <c r="C28" s="42">
        <v>-815.9</v>
      </c>
      <c r="D28" s="42">
        <v>-703</v>
      </c>
      <c r="E28" s="42">
        <v>-672</v>
      </c>
      <c r="F28" s="42">
        <v>-1013</v>
      </c>
      <c r="G28" s="42">
        <v>-1043</v>
      </c>
      <c r="H28" s="42">
        <v>-1151</v>
      </c>
      <c r="I28" s="42">
        <v>-1380</v>
      </c>
      <c r="J28" s="42">
        <v>-1480</v>
      </c>
      <c r="K28" s="42">
        <v>-1136</v>
      </c>
      <c r="L28" s="42">
        <f>-('Balance Sheet'!L23-'Balance Sheet'!K23)-'Cash Flow - DCF VALUATION'!L29</f>
        <v>-1567.3397072931671</v>
      </c>
      <c r="M28" s="42">
        <f>-('Balance Sheet'!M23-'Balance Sheet'!L23)-'Cash Flow - DCF VALUATION'!M29</f>
        <v>-1654.4737711555003</v>
      </c>
      <c r="N28" s="42">
        <f>-('Balance Sheet'!N23-'Balance Sheet'!M23)-'Cash Flow - DCF VALUATION'!N29</f>
        <v>-1746.8785044622032</v>
      </c>
      <c r="O28" s="42">
        <f>-('Balance Sheet'!O23-'Balance Sheet'!N23)-'Cash Flow - DCF VALUATION'!O29</f>
        <v>-1844.8727257689729</v>
      </c>
      <c r="P28" s="42">
        <f>-('Balance Sheet'!P23-'Balance Sheet'!O23)-'Cash Flow - DCF VALUATION'!P29</f>
        <v>-1948.794538709511</v>
      </c>
      <c r="Q28" s="42">
        <f>-('Balance Sheet'!Q23-'Balance Sheet'!P23)-'Cash Flow - DCF VALUATION'!Q29</f>
        <v>-2059.0024985344039</v>
      </c>
      <c r="R28" s="42">
        <f>-('Balance Sheet'!R23-'Balance Sheet'!Q23)-'Cash Flow - DCF VALUATION'!R29</f>
        <v>-2175.8768492129761</v>
      </c>
      <c r="S28" s="42">
        <f>-('Balance Sheet'!S23-'Balance Sheet'!R23)-'Cash Flow - DCF VALUATION'!S29</f>
        <v>-2299.8208353664463</v>
      </c>
      <c r="T28" s="42">
        <f>-('Balance Sheet'!T23-'Balance Sheet'!S23)-'Cash Flow - DCF VALUATION'!T29</f>
        <v>-2431.2620935588361</v>
      </c>
      <c r="U28" s="42">
        <f>-('Balance Sheet'!U23-'Balance Sheet'!T23)-'Cash Flow - DCF VALUATION'!U29</f>
        <v>-2570.6541277460142</v>
      </c>
    </row>
    <row r="29" spans="1:21">
      <c r="A29" s="41" t="s">
        <v>128</v>
      </c>
      <c r="B29" s="42">
        <v>34.299999999999997</v>
      </c>
      <c r="C29" s="42">
        <v>237.2</v>
      </c>
      <c r="D29" s="42">
        <v>337</v>
      </c>
      <c r="E29" s="42">
        <v>89</v>
      </c>
      <c r="F29" s="42">
        <v>71</v>
      </c>
      <c r="G29" s="42">
        <v>145</v>
      </c>
      <c r="H29" s="42">
        <v>73</v>
      </c>
      <c r="I29" s="42">
        <v>52</v>
      </c>
      <c r="J29" s="42">
        <v>114</v>
      </c>
      <c r="K29" s="42">
        <v>116</v>
      </c>
      <c r="L29" s="42">
        <f>$B$61</f>
        <v>126.85</v>
      </c>
      <c r="M29" s="42">
        <f t="shared" ref="M29:U29" si="2">$B$61</f>
        <v>126.85</v>
      </c>
      <c r="N29" s="42">
        <f t="shared" si="2"/>
        <v>126.85</v>
      </c>
      <c r="O29" s="42">
        <f t="shared" si="2"/>
        <v>126.85</v>
      </c>
      <c r="P29" s="42">
        <f t="shared" si="2"/>
        <v>126.85</v>
      </c>
      <c r="Q29" s="42">
        <f t="shared" si="2"/>
        <v>126.85</v>
      </c>
      <c r="R29" s="42">
        <f t="shared" si="2"/>
        <v>126.85</v>
      </c>
      <c r="S29" s="42">
        <f t="shared" si="2"/>
        <v>126.85</v>
      </c>
      <c r="T29" s="42">
        <f t="shared" si="2"/>
        <v>126.85</v>
      </c>
      <c r="U29" s="42">
        <f t="shared" si="2"/>
        <v>126.85</v>
      </c>
    </row>
    <row r="30" spans="1:21">
      <c r="A30" s="41" t="s">
        <v>129</v>
      </c>
      <c r="B30" s="42" t="s">
        <v>21</v>
      </c>
      <c r="C30" s="42" t="s">
        <v>21</v>
      </c>
      <c r="D30" s="42" t="s">
        <v>21</v>
      </c>
      <c r="E30" s="42" t="s">
        <v>21</v>
      </c>
      <c r="F30" s="42" t="s">
        <v>21</v>
      </c>
      <c r="G30" s="42" t="s">
        <v>21</v>
      </c>
      <c r="H30" s="42" t="s">
        <v>21</v>
      </c>
      <c r="I30" s="42" t="s">
        <v>21</v>
      </c>
      <c r="J30" s="42" t="s">
        <v>21</v>
      </c>
      <c r="K30" s="42" t="s">
        <v>21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>
      <c r="A31" s="41" t="s">
        <v>130</v>
      </c>
      <c r="B31" s="42" t="s">
        <v>21</v>
      </c>
      <c r="C31" s="42" t="s">
        <v>21</v>
      </c>
      <c r="D31" s="42" t="s">
        <v>21</v>
      </c>
      <c r="E31" s="42" t="s">
        <v>21</v>
      </c>
      <c r="F31" s="42" t="s">
        <v>21</v>
      </c>
      <c r="G31" s="42" t="s">
        <v>21</v>
      </c>
      <c r="H31" s="42" t="s">
        <v>21</v>
      </c>
      <c r="I31" s="42">
        <v>236</v>
      </c>
      <c r="J31" s="42">
        <v>281</v>
      </c>
      <c r="K31" s="42" t="s">
        <v>21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</row>
    <row r="32" spans="1:21">
      <c r="A32" s="41" t="s">
        <v>131</v>
      </c>
      <c r="B32" s="42" t="s">
        <v>21</v>
      </c>
      <c r="C32" s="42" t="s">
        <v>21</v>
      </c>
      <c r="D32" s="42" t="s">
        <v>21</v>
      </c>
      <c r="E32" s="42">
        <v>-54</v>
      </c>
      <c r="F32" s="42">
        <v>-91</v>
      </c>
      <c r="G32" s="42">
        <v>-105</v>
      </c>
      <c r="H32" s="42">
        <v>-85</v>
      </c>
      <c r="I32" s="42">
        <v>-69</v>
      </c>
      <c r="J32" s="42">
        <v>-42</v>
      </c>
      <c r="K32" s="42">
        <v>-46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</row>
    <row r="33" spans="1:21">
      <c r="A33" s="41" t="s">
        <v>132</v>
      </c>
      <c r="B33" s="42">
        <v>-1655.4</v>
      </c>
      <c r="C33" s="42">
        <v>-231.1</v>
      </c>
      <c r="D33" s="42" t="s">
        <v>21</v>
      </c>
      <c r="E33" s="42" t="s">
        <v>21</v>
      </c>
      <c r="F33" s="42" t="s">
        <v>21</v>
      </c>
      <c r="G33" s="42" t="s">
        <v>21</v>
      </c>
      <c r="H33" s="42" t="s">
        <v>21</v>
      </c>
      <c r="I33" s="42" t="s">
        <v>21</v>
      </c>
      <c r="J33" s="42" t="s">
        <v>21</v>
      </c>
      <c r="K33" s="42" t="s">
        <v>21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</row>
    <row r="34" spans="1:21">
      <c r="A34" s="41" t="s">
        <v>133</v>
      </c>
      <c r="B34" s="42" t="s">
        <v>21</v>
      </c>
      <c r="C34" s="42" t="s">
        <v>21</v>
      </c>
      <c r="D34" s="42" t="s">
        <v>21</v>
      </c>
      <c r="E34" s="42" t="s">
        <v>21</v>
      </c>
      <c r="F34" s="42" t="s">
        <v>21</v>
      </c>
      <c r="G34" s="42" t="s">
        <v>21</v>
      </c>
      <c r="H34" s="42" t="s">
        <v>21</v>
      </c>
      <c r="I34" s="42" t="s">
        <v>21</v>
      </c>
      <c r="J34" s="42" t="s">
        <v>21</v>
      </c>
      <c r="K34" s="42" t="s">
        <v>21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</row>
    <row r="35" spans="1:21">
      <c r="A35" s="41" t="s">
        <v>134</v>
      </c>
      <c r="B35" s="42" t="s">
        <v>21</v>
      </c>
      <c r="C35" s="42">
        <v>9.6999999999999993</v>
      </c>
      <c r="D35" s="42">
        <v>7</v>
      </c>
      <c r="E35" s="42">
        <v>2</v>
      </c>
      <c r="F35" s="42">
        <v>-11</v>
      </c>
      <c r="G35" s="42">
        <v>-8</v>
      </c>
      <c r="H35" s="42">
        <v>-434</v>
      </c>
      <c r="I35" s="42" t="s">
        <v>21</v>
      </c>
      <c r="J35" s="42">
        <v>4</v>
      </c>
      <c r="K35" s="42">
        <v>-3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</row>
    <row r="36" spans="1:21">
      <c r="A36" s="39" t="s">
        <v>135</v>
      </c>
      <c r="B36" s="43">
        <v>-2457.1</v>
      </c>
      <c r="C36" s="43">
        <v>-800.1</v>
      </c>
      <c r="D36" s="43">
        <v>-359</v>
      </c>
      <c r="E36" s="43">
        <v>-635</v>
      </c>
      <c r="F36" s="43">
        <v>-1044</v>
      </c>
      <c r="G36" s="43">
        <v>-1011</v>
      </c>
      <c r="H36" s="43">
        <v>-1597</v>
      </c>
      <c r="I36" s="43">
        <v>-1161</v>
      </c>
      <c r="J36" s="43">
        <v>-1123</v>
      </c>
      <c r="K36" s="43">
        <v>-1069</v>
      </c>
      <c r="L36" s="93">
        <f>SUM(L28:L35)</f>
        <v>-1440.4897072931672</v>
      </c>
      <c r="M36" s="93">
        <f t="shared" ref="M36:U36" si="3">SUM(M28:M35)</f>
        <v>-1527.6237711555004</v>
      </c>
      <c r="N36" s="93">
        <f t="shared" si="3"/>
        <v>-1620.0285044622033</v>
      </c>
      <c r="O36" s="93">
        <f t="shared" si="3"/>
        <v>-1718.022725768973</v>
      </c>
      <c r="P36" s="93">
        <f t="shared" si="3"/>
        <v>-1821.9445387095111</v>
      </c>
      <c r="Q36" s="93">
        <f t="shared" si="3"/>
        <v>-1932.152498534404</v>
      </c>
      <c r="R36" s="93">
        <f t="shared" si="3"/>
        <v>-2049.0268492129762</v>
      </c>
      <c r="S36" s="93">
        <f t="shared" si="3"/>
        <v>-2172.9708353664464</v>
      </c>
      <c r="T36" s="93">
        <f t="shared" si="3"/>
        <v>-2304.4120935588362</v>
      </c>
      <c r="U36" s="93">
        <f t="shared" si="3"/>
        <v>-2443.8041277460143</v>
      </c>
    </row>
    <row r="37" spans="1:21">
      <c r="A37" s="41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94">
        <f>'Balance Sheet'!L23-'Balance Sheet'!K23</f>
        <v>1440.4897072931672</v>
      </c>
      <c r="M37" s="94">
        <f>'Balance Sheet'!M23-'Balance Sheet'!L23</f>
        <v>1527.6237711555004</v>
      </c>
      <c r="N37" s="94">
        <f>'Balance Sheet'!N23-'Balance Sheet'!M23</f>
        <v>1620.0285044622033</v>
      </c>
      <c r="O37" s="94">
        <f>'Balance Sheet'!O23-'Balance Sheet'!N23</f>
        <v>1718.022725768973</v>
      </c>
      <c r="P37" s="94">
        <f>'Balance Sheet'!P23-'Balance Sheet'!O23</f>
        <v>1821.9445387095111</v>
      </c>
      <c r="Q37" s="94">
        <f>'Balance Sheet'!Q23-'Balance Sheet'!P23</f>
        <v>1932.152498534404</v>
      </c>
      <c r="R37" s="94">
        <f>'Balance Sheet'!R23-'Balance Sheet'!Q23</f>
        <v>2049.0268492129762</v>
      </c>
      <c r="S37" s="94">
        <f>'Balance Sheet'!S23-'Balance Sheet'!R23</f>
        <v>2172.9708353664464</v>
      </c>
      <c r="T37" s="94">
        <f>'Balance Sheet'!T23-'Balance Sheet'!S23</f>
        <v>2304.4120935588362</v>
      </c>
      <c r="U37" s="94">
        <f>'Balance Sheet'!U23-'Balance Sheet'!T23</f>
        <v>2443.8041277460143</v>
      </c>
    </row>
    <row r="38" spans="1:21">
      <c r="A38" s="41" t="s">
        <v>136</v>
      </c>
      <c r="B38" s="42">
        <v>229.7</v>
      </c>
      <c r="C38" s="42" t="s">
        <v>21</v>
      </c>
      <c r="D38" s="42" t="s">
        <v>21</v>
      </c>
      <c r="E38" s="42">
        <v>9</v>
      </c>
      <c r="F38" s="42">
        <v>28</v>
      </c>
      <c r="G38" s="42" t="s">
        <v>21</v>
      </c>
      <c r="H38" s="42" t="s">
        <v>21</v>
      </c>
      <c r="I38" s="42">
        <v>771</v>
      </c>
      <c r="J38" s="42" t="s">
        <v>21</v>
      </c>
      <c r="K38" s="42" t="s">
        <v>21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</row>
    <row r="39" spans="1:21">
      <c r="A39" s="41" t="s">
        <v>137</v>
      </c>
      <c r="B39" s="42">
        <v>1745.3</v>
      </c>
      <c r="C39" s="42">
        <v>1148.2</v>
      </c>
      <c r="D39" s="42">
        <v>873</v>
      </c>
      <c r="E39" s="42">
        <v>355</v>
      </c>
      <c r="F39" s="42">
        <v>757</v>
      </c>
      <c r="G39" s="42">
        <v>71</v>
      </c>
      <c r="H39" s="42" t="s">
        <v>21</v>
      </c>
      <c r="I39" s="42" t="s">
        <v>21</v>
      </c>
      <c r="J39" s="42">
        <v>3411</v>
      </c>
      <c r="K39" s="42" t="s">
        <v>21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</row>
    <row r="40" spans="1:21" s="50" customFormat="1" ht="10.5">
      <c r="A40" s="92" t="s">
        <v>138</v>
      </c>
      <c r="B40" s="43">
        <v>1975</v>
      </c>
      <c r="C40" s="43">
        <v>1148.2</v>
      </c>
      <c r="D40" s="43">
        <v>873</v>
      </c>
      <c r="E40" s="43">
        <v>364</v>
      </c>
      <c r="F40" s="43">
        <v>785</v>
      </c>
      <c r="G40" s="43">
        <v>71</v>
      </c>
      <c r="H40" s="43" t="s">
        <v>21</v>
      </c>
      <c r="I40" s="43">
        <v>771</v>
      </c>
      <c r="J40" s="43">
        <v>3411</v>
      </c>
      <c r="K40" s="43" t="s">
        <v>21</v>
      </c>
      <c r="L40" s="95">
        <f>L38+L39</f>
        <v>0</v>
      </c>
      <c r="M40" s="95">
        <f t="shared" ref="M40:U40" si="4">M38+M39</f>
        <v>0</v>
      </c>
      <c r="N40" s="95">
        <f t="shared" si="4"/>
        <v>0</v>
      </c>
      <c r="O40" s="95">
        <f t="shared" si="4"/>
        <v>0</v>
      </c>
      <c r="P40" s="95">
        <f t="shared" si="4"/>
        <v>0</v>
      </c>
      <c r="Q40" s="95">
        <f t="shared" si="4"/>
        <v>0</v>
      </c>
      <c r="R40" s="95">
        <f t="shared" si="4"/>
        <v>0</v>
      </c>
      <c r="S40" s="95">
        <f t="shared" si="4"/>
        <v>0</v>
      </c>
      <c r="T40" s="95">
        <f t="shared" si="4"/>
        <v>0</v>
      </c>
      <c r="U40" s="95">
        <f t="shared" si="4"/>
        <v>0</v>
      </c>
    </row>
    <row r="41" spans="1:21">
      <c r="A41" s="41" t="s">
        <v>139</v>
      </c>
      <c r="B41" s="42" t="s">
        <v>21</v>
      </c>
      <c r="C41" s="42">
        <v>-79.599999999999994</v>
      </c>
      <c r="D41" s="42">
        <v>-150</v>
      </c>
      <c r="E41" s="42" t="s">
        <v>21</v>
      </c>
      <c r="F41" s="42" t="s">
        <v>21</v>
      </c>
      <c r="G41" s="42">
        <v>-27</v>
      </c>
      <c r="H41" s="42" t="s">
        <v>21</v>
      </c>
      <c r="I41" s="42" t="s">
        <v>21</v>
      </c>
      <c r="J41" s="42">
        <v>-893</v>
      </c>
      <c r="K41" s="42">
        <v>-8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>
        <v>0</v>
      </c>
      <c r="T41" s="42">
        <v>0</v>
      </c>
      <c r="U41" s="42">
        <v>0</v>
      </c>
    </row>
    <row r="42" spans="1:21">
      <c r="A42" s="41" t="s">
        <v>140</v>
      </c>
      <c r="B42" s="42">
        <v>-187.7</v>
      </c>
      <c r="C42" s="42">
        <v>-1339.9</v>
      </c>
      <c r="D42" s="42">
        <v>-618</v>
      </c>
      <c r="E42" s="42">
        <v>-613</v>
      </c>
      <c r="F42" s="42">
        <v>-401</v>
      </c>
      <c r="G42" s="42">
        <v>-50</v>
      </c>
      <c r="H42" s="42">
        <v>-56</v>
      </c>
      <c r="I42" s="42">
        <v>-183</v>
      </c>
      <c r="J42" s="42">
        <v>-505</v>
      </c>
      <c r="K42" s="42">
        <v>-38</v>
      </c>
      <c r="L42" s="42">
        <f>'Balance Sheet'!L44-'Balance Sheet'!K44</f>
        <v>0</v>
      </c>
      <c r="M42" s="42">
        <f>'Balance Sheet'!M44-'Balance Sheet'!L44</f>
        <v>0</v>
      </c>
      <c r="N42" s="42">
        <f>'Balance Sheet'!N44-'Balance Sheet'!M44</f>
        <v>0</v>
      </c>
      <c r="O42" s="42">
        <f>'Balance Sheet'!O44-'Balance Sheet'!N44</f>
        <v>0</v>
      </c>
      <c r="P42" s="42">
        <f>'Balance Sheet'!P44-'Balance Sheet'!O44</f>
        <v>0</v>
      </c>
      <c r="Q42" s="42">
        <f>'Balance Sheet'!Q44-'Balance Sheet'!P44</f>
        <v>0</v>
      </c>
      <c r="R42" s="42">
        <f>'Balance Sheet'!R44-'Balance Sheet'!Q44</f>
        <v>0</v>
      </c>
      <c r="S42" s="42">
        <f>'Balance Sheet'!S44-'Balance Sheet'!R44</f>
        <v>0</v>
      </c>
      <c r="T42" s="42">
        <f>'Balance Sheet'!T44-'Balance Sheet'!S44</f>
        <v>0</v>
      </c>
      <c r="U42" s="42">
        <f>'Balance Sheet'!U44-'Balance Sheet'!T44</f>
        <v>0</v>
      </c>
    </row>
    <row r="43" spans="1:21" s="50" customFormat="1" ht="10.5">
      <c r="A43" s="92" t="s">
        <v>141</v>
      </c>
      <c r="B43" s="43">
        <v>-187.7</v>
      </c>
      <c r="C43" s="43">
        <v>-1419.5</v>
      </c>
      <c r="D43" s="43">
        <v>-768</v>
      </c>
      <c r="E43" s="43">
        <v>-613</v>
      </c>
      <c r="F43" s="43">
        <v>-401</v>
      </c>
      <c r="G43" s="43">
        <v>-77</v>
      </c>
      <c r="H43" s="43">
        <v>-56</v>
      </c>
      <c r="I43" s="43">
        <v>-183</v>
      </c>
      <c r="J43" s="43">
        <v>-1398</v>
      </c>
      <c r="K43" s="43">
        <v>-46</v>
      </c>
      <c r="L43" s="43">
        <f>L41+L42</f>
        <v>0</v>
      </c>
      <c r="M43" s="43">
        <f t="shared" ref="M43:U43" si="5">M41+M42</f>
        <v>0</v>
      </c>
      <c r="N43" s="43">
        <f t="shared" si="5"/>
        <v>0</v>
      </c>
      <c r="O43" s="43">
        <f t="shared" si="5"/>
        <v>0</v>
      </c>
      <c r="P43" s="43">
        <f t="shared" si="5"/>
        <v>0</v>
      </c>
      <c r="Q43" s="43">
        <f t="shared" si="5"/>
        <v>0</v>
      </c>
      <c r="R43" s="43">
        <f t="shared" si="5"/>
        <v>0</v>
      </c>
      <c r="S43" s="43">
        <f t="shared" si="5"/>
        <v>0</v>
      </c>
      <c r="T43" s="43">
        <f t="shared" si="5"/>
        <v>0</v>
      </c>
      <c r="U43" s="43">
        <f t="shared" si="5"/>
        <v>0</v>
      </c>
    </row>
    <row r="44" spans="1:21">
      <c r="A44" s="41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1:21">
      <c r="A45" s="41" t="s">
        <v>142</v>
      </c>
      <c r="B45" s="42">
        <v>30.4</v>
      </c>
      <c r="C45" s="42">
        <v>19.7</v>
      </c>
      <c r="D45" s="42">
        <v>514</v>
      </c>
      <c r="E45" s="42">
        <v>32</v>
      </c>
      <c r="F45" s="42">
        <v>29</v>
      </c>
      <c r="G45" s="42">
        <v>198</v>
      </c>
      <c r="H45" s="42">
        <v>83</v>
      </c>
      <c r="I45" s="42">
        <v>62</v>
      </c>
      <c r="J45" s="42">
        <v>43</v>
      </c>
      <c r="K45" s="42">
        <v>21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</row>
    <row r="46" spans="1:21">
      <c r="A46" s="41" t="s">
        <v>143</v>
      </c>
      <c r="B46" s="42">
        <v>-231.1</v>
      </c>
      <c r="C46" s="42" t="s">
        <v>21</v>
      </c>
      <c r="D46" s="42" t="s">
        <v>21</v>
      </c>
      <c r="E46" s="42" t="s">
        <v>21</v>
      </c>
      <c r="F46" s="42" t="s">
        <v>21</v>
      </c>
      <c r="G46" s="42" t="s">
        <v>21</v>
      </c>
      <c r="H46" s="42" t="s">
        <v>21</v>
      </c>
      <c r="I46" s="42">
        <v>-2050</v>
      </c>
      <c r="J46" s="42">
        <v>-2787</v>
      </c>
      <c r="K46" s="42">
        <v>-1210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v>0</v>
      </c>
      <c r="S46" s="42">
        <v>0</v>
      </c>
      <c r="T46" s="42">
        <v>0</v>
      </c>
      <c r="U46" s="42">
        <v>0</v>
      </c>
    </row>
    <row r="47" spans="1:21">
      <c r="A47" s="41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1:21">
      <c r="A48" s="41" t="s">
        <v>144</v>
      </c>
      <c r="B48" s="42">
        <v>-133.1</v>
      </c>
      <c r="C48" s="42">
        <v>-148.69999999999999</v>
      </c>
      <c r="D48" s="42">
        <v>-163</v>
      </c>
      <c r="E48" s="42">
        <v>-174</v>
      </c>
      <c r="F48" s="42">
        <v>-193</v>
      </c>
      <c r="G48" s="42">
        <v>-223</v>
      </c>
      <c r="H48" s="42">
        <v>-244</v>
      </c>
      <c r="I48" s="42">
        <v>-244</v>
      </c>
      <c r="J48" s="42">
        <v>-226</v>
      </c>
      <c r="K48" s="42">
        <v>-255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</row>
    <row r="49" spans="1:21">
      <c r="A49" s="92" t="s">
        <v>145</v>
      </c>
      <c r="B49" s="43">
        <v>-133.1</v>
      </c>
      <c r="C49" s="43">
        <v>-148.69999999999999</v>
      </c>
      <c r="D49" s="43">
        <v>-163</v>
      </c>
      <c r="E49" s="43">
        <v>-174</v>
      </c>
      <c r="F49" s="43">
        <v>-193</v>
      </c>
      <c r="G49" s="43">
        <v>-223</v>
      </c>
      <c r="H49" s="43">
        <v>-244</v>
      </c>
      <c r="I49" s="43">
        <v>-244</v>
      </c>
      <c r="J49" s="43">
        <v>-226</v>
      </c>
      <c r="K49" s="43">
        <v>-255</v>
      </c>
      <c r="L49" s="43">
        <f>L48</f>
        <v>0</v>
      </c>
      <c r="M49" s="43">
        <f t="shared" ref="M49:U49" si="6">M48</f>
        <v>0</v>
      </c>
      <c r="N49" s="43">
        <f t="shared" si="6"/>
        <v>0</v>
      </c>
      <c r="O49" s="43">
        <f t="shared" si="6"/>
        <v>0</v>
      </c>
      <c r="P49" s="43">
        <f t="shared" si="6"/>
        <v>0</v>
      </c>
      <c r="Q49" s="43">
        <f t="shared" si="6"/>
        <v>0</v>
      </c>
      <c r="R49" s="43">
        <f t="shared" si="6"/>
        <v>0</v>
      </c>
      <c r="S49" s="43">
        <f t="shared" si="6"/>
        <v>0</v>
      </c>
      <c r="T49" s="43">
        <f t="shared" si="6"/>
        <v>0</v>
      </c>
      <c r="U49" s="43">
        <f t="shared" si="6"/>
        <v>0</v>
      </c>
    </row>
    <row r="50" spans="1:21">
      <c r="A50" s="41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:21">
      <c r="A51" s="41" t="s">
        <v>146</v>
      </c>
      <c r="B51" s="42" t="s">
        <v>21</v>
      </c>
      <c r="C51" s="42" t="s">
        <v>21</v>
      </c>
      <c r="D51" s="42" t="s">
        <v>21</v>
      </c>
      <c r="E51" s="42" t="s">
        <v>21</v>
      </c>
      <c r="F51" s="42" t="s">
        <v>21</v>
      </c>
      <c r="G51" s="42" t="s">
        <v>21</v>
      </c>
      <c r="H51" s="42" t="s">
        <v>21</v>
      </c>
      <c r="I51" s="42" t="s">
        <v>21</v>
      </c>
      <c r="J51" s="42" t="s">
        <v>21</v>
      </c>
      <c r="K51" s="42" t="s">
        <v>21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</row>
    <row r="52" spans="1:21">
      <c r="A52" s="41" t="s">
        <v>147</v>
      </c>
      <c r="B52" s="42" t="s">
        <v>21</v>
      </c>
      <c r="C52" s="42">
        <v>-30.9</v>
      </c>
      <c r="D52" s="42">
        <v>34</v>
      </c>
      <c r="E52" s="42">
        <v>223</v>
      </c>
      <c r="F52" s="42">
        <v>-3</v>
      </c>
      <c r="G52" s="42">
        <v>1</v>
      </c>
      <c r="H52" s="42">
        <v>-3</v>
      </c>
      <c r="I52" s="42">
        <v>14</v>
      </c>
      <c r="J52" s="42" t="s">
        <v>21</v>
      </c>
      <c r="K52" s="42">
        <v>-3</v>
      </c>
      <c r="L52" s="42">
        <v>0</v>
      </c>
      <c r="M52" s="42"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</row>
    <row r="53" spans="1:21">
      <c r="A53" s="39" t="s">
        <v>148</v>
      </c>
      <c r="B53" s="43">
        <v>1453.5</v>
      </c>
      <c r="C53" s="43">
        <v>-431.2</v>
      </c>
      <c r="D53" s="43">
        <v>490</v>
      </c>
      <c r="E53" s="43">
        <v>-168</v>
      </c>
      <c r="F53" s="43">
        <v>217</v>
      </c>
      <c r="G53" s="43">
        <v>-30</v>
      </c>
      <c r="H53" s="43">
        <v>-220</v>
      </c>
      <c r="I53" s="43">
        <v>-1630</v>
      </c>
      <c r="J53" s="43">
        <v>-957</v>
      </c>
      <c r="K53" s="43">
        <v>-1493</v>
      </c>
      <c r="L53" s="43">
        <f>L43+L45+L46+L49</f>
        <v>0</v>
      </c>
      <c r="M53" s="43">
        <f t="shared" ref="M53:U53" si="7">M43+M45+M46+M49</f>
        <v>0</v>
      </c>
      <c r="N53" s="43">
        <f t="shared" si="7"/>
        <v>0</v>
      </c>
      <c r="O53" s="43">
        <f t="shared" si="7"/>
        <v>0</v>
      </c>
      <c r="P53" s="43">
        <f t="shared" si="7"/>
        <v>0</v>
      </c>
      <c r="Q53" s="43">
        <f t="shared" si="7"/>
        <v>0</v>
      </c>
      <c r="R53" s="43">
        <f t="shared" si="7"/>
        <v>0</v>
      </c>
      <c r="S53" s="43">
        <f t="shared" si="7"/>
        <v>0</v>
      </c>
      <c r="T53" s="43">
        <f t="shared" si="7"/>
        <v>0</v>
      </c>
      <c r="U53" s="43">
        <f t="shared" si="7"/>
        <v>0</v>
      </c>
    </row>
    <row r="54" spans="1:21">
      <c r="A54" s="41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:21">
      <c r="A55" s="41" t="s">
        <v>149</v>
      </c>
      <c r="B55" s="42">
        <v>-18.899999999999999</v>
      </c>
      <c r="C55" s="42">
        <v>28</v>
      </c>
      <c r="D55" s="42">
        <v>-20</v>
      </c>
      <c r="E55" s="42">
        <v>-17</v>
      </c>
      <c r="F55" s="42">
        <v>1</v>
      </c>
      <c r="G55" s="42">
        <v>-1</v>
      </c>
      <c r="H55" s="42">
        <v>10</v>
      </c>
      <c r="I55" s="42">
        <v>7</v>
      </c>
      <c r="J55" s="42">
        <v>45</v>
      </c>
      <c r="K55" s="42">
        <v>-13</v>
      </c>
      <c r="L55" s="42"/>
      <c r="M55" s="42"/>
      <c r="N55" s="42"/>
      <c r="O55" s="42"/>
      <c r="P55" s="42"/>
      <c r="Q55" s="42"/>
      <c r="R55" s="42"/>
      <c r="S55" s="42"/>
      <c r="T55" s="42"/>
      <c r="U55" s="42"/>
    </row>
    <row r="56" spans="1:21">
      <c r="A56" s="39" t="s">
        <v>150</v>
      </c>
      <c r="B56" s="45">
        <v>253.8</v>
      </c>
      <c r="C56" s="45">
        <v>-260.39999999999998</v>
      </c>
      <c r="D56" s="45">
        <v>562</v>
      </c>
      <c r="E56" s="45">
        <v>-318</v>
      </c>
      <c r="F56" s="45">
        <v>-314</v>
      </c>
      <c r="G56" s="45">
        <v>286</v>
      </c>
      <c r="H56" s="45">
        <v>143</v>
      </c>
      <c r="I56" s="45">
        <v>-661</v>
      </c>
      <c r="J56" s="45">
        <v>424</v>
      </c>
      <c r="K56" s="45">
        <v>-486</v>
      </c>
      <c r="L56" s="45">
        <f ca="1">L26+L36+L53</f>
        <v>534.49625965459836</v>
      </c>
      <c r="M56" s="45">
        <f t="shared" ref="M56:U56" ca="1" si="8">M26+M36+M53</f>
        <v>573.32718985338033</v>
      </c>
      <c r="N56" s="45">
        <f t="shared" ca="1" si="8"/>
        <v>619.75166032233892</v>
      </c>
      <c r="O56" s="45">
        <f t="shared" ca="1" si="8"/>
        <v>668.71518442349679</v>
      </c>
      <c r="P56" s="45">
        <f t="shared" ca="1" si="8"/>
        <v>720.34699376175331</v>
      </c>
      <c r="Q56" s="45">
        <f t="shared" ca="1" si="8"/>
        <v>774.78306605639273</v>
      </c>
      <c r="R56" s="45">
        <f t="shared" ca="1" si="8"/>
        <v>832.16645873025846</v>
      </c>
      <c r="S56" s="45">
        <f t="shared" ca="1" si="8"/>
        <v>892.64765885983388</v>
      </c>
      <c r="T56" s="45">
        <f t="shared" ca="1" si="8"/>
        <v>956.38495023739915</v>
      </c>
      <c r="U56" s="45">
        <f t="shared" ca="1" si="8"/>
        <v>1023.5447983287017</v>
      </c>
    </row>
    <row r="57" spans="1:2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96"/>
      <c r="M57" s="96"/>
      <c r="N57" s="96"/>
      <c r="O57" s="96"/>
      <c r="P57" s="96"/>
      <c r="Q57" s="96"/>
      <c r="R57" s="96"/>
      <c r="S57" s="96"/>
      <c r="T57" s="96"/>
      <c r="U57" s="96"/>
    </row>
    <row r="58" spans="1:21">
      <c r="A58" s="9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21" s="49" customFormat="1">
      <c r="A59" s="48" t="s">
        <v>49</v>
      </c>
    </row>
    <row r="60" spans="1:21">
      <c r="A60" s="142" t="s">
        <v>50</v>
      </c>
      <c r="B60" s="142"/>
      <c r="L60" s="47">
        <v>1</v>
      </c>
      <c r="M60" s="47">
        <v>2</v>
      </c>
      <c r="N60" s="47">
        <v>3</v>
      </c>
      <c r="O60" s="47">
        <v>4</v>
      </c>
      <c r="P60" s="47">
        <v>5</v>
      </c>
      <c r="Q60" s="47">
        <v>6</v>
      </c>
      <c r="R60" s="47">
        <v>7</v>
      </c>
      <c r="S60" s="47">
        <v>8</v>
      </c>
      <c r="T60" s="47">
        <v>9</v>
      </c>
      <c r="U60" s="47">
        <v>10</v>
      </c>
    </row>
    <row r="61" spans="1:21">
      <c r="A61" s="47" t="s">
        <v>128</v>
      </c>
      <c r="B61" s="98">
        <f>AVERAGE(B29:K29)</f>
        <v>126.85</v>
      </c>
      <c r="H61" s="117" t="s">
        <v>151</v>
      </c>
      <c r="I61" s="120">
        <f>D101</f>
        <v>7.2767611938810928E-2</v>
      </c>
      <c r="K61" s="47" t="s">
        <v>152</v>
      </c>
      <c r="L61" s="96">
        <f ca="1">L26+L36-'Income Statement'!L24*(1-'Income Statement'!$B$60)</f>
        <v>872.44486297363721</v>
      </c>
      <c r="M61" s="96">
        <f ca="1">M26+M36-'Income Statement'!M24*(1-'Income Statement'!$B$60)</f>
        <v>911.27579317241918</v>
      </c>
      <c r="N61" s="96">
        <f ca="1">N26+N36-'Income Statement'!N24*(1-'Income Statement'!$B$60)</f>
        <v>957.70026364137777</v>
      </c>
      <c r="O61" s="96">
        <f ca="1">O26+O36-'Income Statement'!O24*(1-'Income Statement'!$B$60)</f>
        <v>1006.6637877425356</v>
      </c>
      <c r="P61" s="96">
        <f ca="1">P26+P36-'Income Statement'!P24*(1-'Income Statement'!$B$60)</f>
        <v>1058.295597080792</v>
      </c>
      <c r="Q61" s="96">
        <f ca="1">Q26+Q36-'Income Statement'!Q24*(1-'Income Statement'!$B$60)</f>
        <v>1112.7316693754315</v>
      </c>
      <c r="R61" s="96">
        <f ca="1">R26+R36-'Income Statement'!R24*(1-'Income Statement'!$B$60)</f>
        <v>1170.1150620492972</v>
      </c>
      <c r="S61" s="96">
        <f ca="1">S26+S36-'Income Statement'!S24*(1-'Income Statement'!$B$60)</f>
        <v>1230.5962621788726</v>
      </c>
      <c r="T61" s="96">
        <f ca="1">T26+T36-'Income Statement'!T24*(1-'Income Statement'!$B$60)</f>
        <v>1294.3335535564379</v>
      </c>
      <c r="U61" s="96">
        <f ca="1">U26+U36-'Income Statement'!U24*(1-'Income Statement'!$B$60)</f>
        <v>1361.4934016477405</v>
      </c>
    </row>
    <row r="62" spans="1:21">
      <c r="A62" s="47" t="s">
        <v>131</v>
      </c>
      <c r="B62" s="98">
        <f>AVERAGE(E32:K32)</f>
        <v>-70.285714285714292</v>
      </c>
      <c r="H62" s="99" t="s">
        <v>153</v>
      </c>
      <c r="I62" s="100">
        <f>AVERAGE(H66:H77)/100</f>
        <v>1.641666666666667E-2</v>
      </c>
      <c r="L62" s="96"/>
      <c r="M62" s="96"/>
      <c r="N62" s="96"/>
      <c r="O62" s="96"/>
      <c r="P62" s="96"/>
      <c r="Q62" s="96"/>
      <c r="R62" s="96"/>
      <c r="S62" s="96"/>
      <c r="T62" s="96"/>
      <c r="U62" s="96">
        <f ca="1">U61*(1+I62)/(I61-I62)</f>
        <v>0</v>
      </c>
    </row>
    <row r="63" spans="1:21">
      <c r="A63" s="41" t="s">
        <v>154</v>
      </c>
      <c r="B63" s="65">
        <f>((K48/B48)^(1/10))-1</f>
        <v>6.7176399982988411E-2</v>
      </c>
      <c r="J63" s="47" t="s">
        <v>111</v>
      </c>
      <c r="K63" s="47" t="s">
        <v>155</v>
      </c>
      <c r="L63" s="96">
        <f ca="1">(L61+L62)/(1+$I$61)^L60</f>
        <v>0</v>
      </c>
      <c r="M63" s="96">
        <f t="shared" ref="M63:T63" ca="1" si="9">(M61+M62)/(1+$I$61)^M60</f>
        <v>791.84198938286283</v>
      </c>
      <c r="N63" s="96">
        <f t="shared" ca="1" si="9"/>
        <v>775.73367958411154</v>
      </c>
      <c r="O63" s="96">
        <f t="shared" ca="1" si="9"/>
        <v>760.08442495234908</v>
      </c>
      <c r="P63" s="96">
        <f t="shared" ca="1" si="9"/>
        <v>744.86698151921462</v>
      </c>
      <c r="Q63" s="96">
        <f t="shared" ca="1" si="9"/>
        <v>730.056596508192</v>
      </c>
      <c r="R63" s="96">
        <f t="shared" ca="1" si="9"/>
        <v>715.63075624867793</v>
      </c>
      <c r="S63" s="96">
        <f t="shared" ca="1" si="9"/>
        <v>701.56896002152189</v>
      </c>
      <c r="T63" s="96">
        <f t="shared" ca="1" si="9"/>
        <v>687.85251716205084</v>
      </c>
      <c r="U63" s="96">
        <f ca="1">(U61+U62)/(1+$I$61)^U60</f>
        <v>0</v>
      </c>
    </row>
    <row r="64" spans="1:21">
      <c r="A64" s="41" t="s">
        <v>143</v>
      </c>
      <c r="B64" s="98">
        <f>AVERAGE(I46:K46)</f>
        <v>-2015.6666666666667</v>
      </c>
      <c r="J64" s="47" t="s">
        <v>156</v>
      </c>
    </row>
    <row r="65" spans="1:13" ht="15">
      <c r="H65" s="101" t="s">
        <v>157</v>
      </c>
      <c r="I65" s="102"/>
      <c r="K65" s="47" t="s">
        <v>158</v>
      </c>
      <c r="L65" s="103">
        <v>19560.900000000001</v>
      </c>
    </row>
    <row r="66" spans="1:13" ht="15">
      <c r="H66" s="104">
        <v>1.5</v>
      </c>
      <c r="I66" s="102"/>
      <c r="K66" s="47" t="s">
        <v>159</v>
      </c>
      <c r="L66" s="105">
        <f>'Balance Sheet'!K10</f>
        <v>164</v>
      </c>
    </row>
    <row r="67" spans="1:13" ht="15">
      <c r="H67" s="104">
        <v>1.6</v>
      </c>
      <c r="I67" s="102"/>
      <c r="K67" s="47" t="s">
        <v>160</v>
      </c>
      <c r="L67" s="105">
        <f>-'Balance Sheet'!K38-'Balance Sheet'!K44</f>
        <v>-8587</v>
      </c>
    </row>
    <row r="68" spans="1:13" ht="15">
      <c r="H68" s="104">
        <v>1.4</v>
      </c>
      <c r="I68" s="102"/>
      <c r="K68" s="47" t="s">
        <v>161</v>
      </c>
      <c r="L68" s="105">
        <f>SUM(L65:L67)</f>
        <v>11137.900000000001</v>
      </c>
    </row>
    <row r="69" spans="1:13" ht="15">
      <c r="H69" s="104">
        <v>1.2</v>
      </c>
      <c r="I69" s="102"/>
    </row>
    <row r="70" spans="1:13" ht="15">
      <c r="H70" s="104">
        <v>0.8</v>
      </c>
      <c r="I70" s="102"/>
      <c r="K70" s="47" t="s">
        <v>162</v>
      </c>
      <c r="L70" s="47">
        <v>144.97</v>
      </c>
    </row>
    <row r="71" spans="1:13" ht="15">
      <c r="A71" s="106" t="s">
        <v>163</v>
      </c>
      <c r="H71" s="104">
        <v>2.2999999999999998</v>
      </c>
      <c r="I71" s="102"/>
    </row>
    <row r="72" spans="1:13" ht="15">
      <c r="H72" s="104">
        <v>2.35</v>
      </c>
      <c r="I72" s="102"/>
      <c r="K72" s="117" t="s">
        <v>164</v>
      </c>
      <c r="L72" s="118">
        <f>L68/L70</f>
        <v>76.82899910326276</v>
      </c>
      <c r="M72" s="141">
        <f>L68/L70</f>
        <v>76.82899910326276</v>
      </c>
    </row>
    <row r="73" spans="1:13" ht="15">
      <c r="H73" s="104">
        <v>1.32</v>
      </c>
      <c r="I73" s="102"/>
    </row>
    <row r="74" spans="1:13" ht="15">
      <c r="A74" s="102" t="s">
        <v>165</v>
      </c>
      <c r="B74" s="102"/>
      <c r="C74" s="102"/>
      <c r="D74" s="102"/>
      <c r="H74" s="104">
        <v>1.1599999999999999</v>
      </c>
      <c r="I74" s="102"/>
      <c r="K74" s="74" t="s">
        <v>166</v>
      </c>
      <c r="L74" s="74">
        <f>'Comparables '!B19</f>
        <v>222.23</v>
      </c>
    </row>
    <row r="75" spans="1:13" ht="15">
      <c r="A75" s="102"/>
      <c r="B75" s="102" t="s">
        <v>167</v>
      </c>
      <c r="C75" s="102"/>
      <c r="D75" s="107">
        <v>1.89E-2</v>
      </c>
      <c r="H75" s="104">
        <v>2.38</v>
      </c>
      <c r="I75" s="102"/>
    </row>
    <row r="76" spans="1:13" ht="15">
      <c r="A76" s="102"/>
      <c r="B76" s="102" t="s">
        <v>168</v>
      </c>
      <c r="C76" s="102"/>
      <c r="D76" s="108">
        <v>1.45</v>
      </c>
      <c r="H76" s="104">
        <v>1.6</v>
      </c>
      <c r="I76" s="102"/>
      <c r="K76" s="117" t="s">
        <v>169</v>
      </c>
      <c r="L76" s="119">
        <f ca="1">'Income Statement'!L50/'Cash Flow - DCF VALUATION'!L70</f>
        <v>9.0144815598552039</v>
      </c>
    </row>
    <row r="77" spans="1:13" ht="15">
      <c r="A77" s="102"/>
      <c r="B77" s="102" t="s">
        <v>170</v>
      </c>
      <c r="C77" s="102"/>
      <c r="D77" s="109">
        <v>0.06</v>
      </c>
      <c r="H77" s="104">
        <v>2.09</v>
      </c>
      <c r="I77" s="102"/>
      <c r="K77" s="50"/>
      <c r="L77" s="110"/>
    </row>
    <row r="78" spans="1:13" ht="15">
      <c r="A78" s="102"/>
      <c r="B78" s="102" t="s">
        <v>165</v>
      </c>
      <c r="C78" s="102"/>
      <c r="D78" s="111">
        <f>D75+D76*(D77-D75)</f>
        <v>7.8494999999999995E-2</v>
      </c>
      <c r="K78" s="117" t="s">
        <v>171</v>
      </c>
      <c r="L78" s="119">
        <f ca="1">L72/L76</f>
        <v>8.5228072738332425</v>
      </c>
    </row>
    <row r="81" spans="1:19" ht="15">
      <c r="A81" s="102" t="s">
        <v>172</v>
      </c>
      <c r="B81" s="102"/>
      <c r="C81" s="102"/>
      <c r="D81" s="102"/>
      <c r="J81" s="50"/>
      <c r="K81" s="112"/>
      <c r="L81" s="113"/>
      <c r="M81" s="113"/>
      <c r="N81" s="113"/>
      <c r="O81" s="113"/>
      <c r="P81" s="113"/>
      <c r="Q81" s="113"/>
      <c r="R81" s="113"/>
      <c r="S81" s="113"/>
    </row>
    <row r="82" spans="1:19" ht="15.75">
      <c r="A82" s="102"/>
      <c r="B82" s="102" t="s">
        <v>173</v>
      </c>
      <c r="C82" s="102"/>
      <c r="D82" s="102">
        <v>1.4497</v>
      </c>
      <c r="J82" s="50" t="s">
        <v>174</v>
      </c>
      <c r="K82" s="114" t="s">
        <v>175</v>
      </c>
      <c r="L82" s="113"/>
      <c r="M82" s="113"/>
      <c r="N82" s="113"/>
      <c r="O82" s="113"/>
      <c r="P82" s="113"/>
      <c r="Q82" s="113"/>
      <c r="R82" s="113"/>
      <c r="S82" s="113"/>
    </row>
    <row r="83" spans="1:19" ht="15">
      <c r="A83" s="102"/>
      <c r="B83" s="102" t="s">
        <v>176</v>
      </c>
      <c r="C83" s="102"/>
      <c r="D83" s="102">
        <f>'Comparables '!B19</f>
        <v>222.23</v>
      </c>
      <c r="K83" s="113"/>
      <c r="L83" s="113"/>
      <c r="M83" s="113"/>
      <c r="N83" s="113"/>
      <c r="O83" s="113"/>
      <c r="P83" s="113"/>
      <c r="Q83" s="113"/>
      <c r="R83" s="113"/>
      <c r="S83" s="113"/>
    </row>
    <row r="84" spans="1:19" ht="15">
      <c r="A84" s="102"/>
      <c r="B84" s="102" t="s">
        <v>177</v>
      </c>
      <c r="C84" s="102"/>
      <c r="D84" s="102">
        <f>D82*D83</f>
        <v>322.166831</v>
      </c>
    </row>
    <row r="87" spans="1:19" ht="15">
      <c r="A87" s="102" t="s">
        <v>178</v>
      </c>
      <c r="B87" s="102"/>
      <c r="C87" s="102"/>
      <c r="D87" s="102"/>
    </row>
    <row r="88" spans="1:19" ht="15">
      <c r="A88" s="102"/>
      <c r="B88" s="102" t="s">
        <v>179</v>
      </c>
      <c r="C88" s="102"/>
      <c r="D88" s="107">
        <f>-'Income Statement'!B58</f>
        <v>5.3238226899496158E-2</v>
      </c>
    </row>
    <row r="89" spans="1:19" ht="15">
      <c r="A89" s="102"/>
      <c r="B89" s="102" t="s">
        <v>180</v>
      </c>
      <c r="C89" s="102"/>
      <c r="D89" s="115">
        <v>0.27500000000000002</v>
      </c>
      <c r="E89" s="102"/>
      <c r="F89" s="102"/>
      <c r="G89" s="102"/>
      <c r="H89" s="102"/>
      <c r="I89" s="102"/>
      <c r="J89" s="102"/>
      <c r="K89" s="102"/>
    </row>
    <row r="90" spans="1:19" ht="15">
      <c r="A90" s="102"/>
      <c r="B90" s="102" t="s">
        <v>178</v>
      </c>
      <c r="C90" s="102"/>
      <c r="D90" s="111">
        <f>D88*(1-D89)</f>
        <v>3.8597714502134714E-2</v>
      </c>
      <c r="E90" s="102"/>
      <c r="F90" s="102"/>
      <c r="G90" s="102"/>
      <c r="H90" s="102"/>
      <c r="I90" s="102"/>
      <c r="J90" s="102"/>
      <c r="K90" s="102"/>
    </row>
    <row r="91" spans="1:19" ht="15">
      <c r="A91" s="102"/>
      <c r="F91" s="102"/>
      <c r="K91" s="102"/>
    </row>
    <row r="92" spans="1:19" ht="15">
      <c r="A92" s="102"/>
      <c r="F92" s="102"/>
      <c r="K92" s="102"/>
    </row>
    <row r="93" spans="1:19" ht="15">
      <c r="A93" s="102" t="s">
        <v>181</v>
      </c>
      <c r="B93" s="102"/>
      <c r="C93" s="102"/>
      <c r="D93" s="102"/>
      <c r="F93" s="116"/>
      <c r="K93" s="102"/>
    </row>
    <row r="94" spans="1:19" ht="15">
      <c r="A94" s="102"/>
      <c r="B94" s="102" t="s">
        <v>182</v>
      </c>
      <c r="C94" s="102"/>
      <c r="D94" s="102">
        <v>54</v>
      </c>
      <c r="F94" s="102"/>
      <c r="K94" s="102"/>
    </row>
    <row r="95" spans="1:19" ht="15">
      <c r="A95" s="102"/>
      <c r="B95" s="102" t="s">
        <v>183</v>
      </c>
      <c r="C95" s="102"/>
      <c r="D95" s="102">
        <v>1</v>
      </c>
      <c r="F95" s="102"/>
      <c r="G95" s="102"/>
      <c r="H95" s="102"/>
      <c r="I95" s="102"/>
      <c r="J95" s="102"/>
      <c r="K95" s="102"/>
    </row>
    <row r="96" spans="1:19" ht="15">
      <c r="A96" s="102"/>
      <c r="B96" s="102" t="s">
        <v>177</v>
      </c>
      <c r="C96" s="102"/>
      <c r="D96" s="102">
        <f>D94*D95</f>
        <v>54</v>
      </c>
      <c r="E96" s="102"/>
      <c r="F96" s="102"/>
      <c r="G96" s="102"/>
      <c r="H96" s="102"/>
      <c r="I96" s="102"/>
      <c r="J96" s="102"/>
      <c r="K96" s="102"/>
    </row>
    <row r="97" spans="1:11" ht="15">
      <c r="A97" s="102"/>
      <c r="B97" s="102"/>
      <c r="C97" s="102"/>
      <c r="D97" s="102"/>
      <c r="F97" s="102"/>
      <c r="K97" s="102"/>
    </row>
    <row r="98" spans="1:11" ht="15">
      <c r="A98" s="102" t="s">
        <v>184</v>
      </c>
      <c r="B98" s="102"/>
      <c r="C98" s="102"/>
      <c r="D98" s="102">
        <f>D84+D96</f>
        <v>376.166831</v>
      </c>
      <c r="F98" s="102"/>
      <c r="K98" s="102"/>
    </row>
    <row r="99" spans="1:11" ht="15">
      <c r="A99" s="102"/>
      <c r="F99" s="102"/>
      <c r="K99" s="102"/>
    </row>
    <row r="100" spans="1:11" ht="15">
      <c r="A100" s="102"/>
      <c r="F100" s="102"/>
      <c r="K100" s="102"/>
    </row>
    <row r="101" spans="1:11" ht="15">
      <c r="A101" s="102" t="s">
        <v>151</v>
      </c>
      <c r="B101" s="102"/>
      <c r="C101" s="102"/>
      <c r="D101" s="121">
        <f>D78*D84/D98+D90*D96/D98</f>
        <v>7.2767611938810928E-2</v>
      </c>
      <c r="E101" s="102"/>
      <c r="F101" s="102"/>
      <c r="K101" s="102"/>
    </row>
    <row r="102" spans="1:11" ht="15">
      <c r="A102" s="102"/>
      <c r="B102" s="102"/>
      <c r="C102" s="102"/>
      <c r="D102" s="102"/>
      <c r="E102" s="102"/>
      <c r="F102" s="102"/>
      <c r="K102" s="102"/>
    </row>
    <row r="103" spans="1:11" ht="15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</row>
    <row r="104" spans="1:11" ht="15">
      <c r="A104" s="102"/>
      <c r="F104" s="102"/>
      <c r="G104" s="102"/>
      <c r="H104" s="102"/>
      <c r="I104" s="102"/>
      <c r="J104" s="102"/>
      <c r="K104" s="102"/>
    </row>
  </sheetData>
  <mergeCells count="2">
    <mergeCell ref="A60:B60"/>
    <mergeCell ref="L6:U6"/>
  </mergeCells>
  <hyperlinks>
    <hyperlink ref="K82" r:id="rId1"/>
  </hyperlinks>
  <pageMargins left="0.2" right="0.2" top="0.5" bottom="0.5" header="0.5" footer="0.5"/>
  <pageSetup fitToWidth="0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outlinePr summaryBelow="0" summaryRight="0"/>
    <pageSetUpPr autoPageBreaks="0"/>
  </sheetPr>
  <dimension ref="A4:Q38"/>
  <sheetViews>
    <sheetView zoomScale="90" zoomScaleNormal="90" zoomScalePageLayoutView="90" workbookViewId="0">
      <selection activeCell="N13" sqref="N13"/>
    </sheetView>
  </sheetViews>
  <sheetFormatPr defaultColWidth="8.85546875" defaultRowHeight="11.25"/>
  <cols>
    <col min="1" max="1" width="40.140625" style="4" customWidth="1"/>
    <col min="2" max="9" width="13.42578125" style="4" customWidth="1"/>
    <col min="10" max="10" width="27.140625" style="4" customWidth="1"/>
    <col min="11" max="11" width="13" style="5" customWidth="1"/>
    <col min="12" max="15" width="11.7109375" style="5" customWidth="1"/>
    <col min="16" max="16" width="11.7109375" style="4" customWidth="1"/>
    <col min="17" max="256" width="8.85546875" style="4"/>
    <col min="257" max="257" width="36.85546875" style="4" customWidth="1"/>
    <col min="258" max="265" width="13.42578125" style="4" customWidth="1"/>
    <col min="266" max="266" width="27.140625" style="4" customWidth="1"/>
    <col min="267" max="267" width="13" style="4" customWidth="1"/>
    <col min="268" max="272" width="11.7109375" style="4" customWidth="1"/>
    <col min="273" max="512" width="8.85546875" style="4"/>
    <col min="513" max="513" width="36.85546875" style="4" customWidth="1"/>
    <col min="514" max="521" width="13.42578125" style="4" customWidth="1"/>
    <col min="522" max="522" width="27.140625" style="4" customWidth="1"/>
    <col min="523" max="523" width="13" style="4" customWidth="1"/>
    <col min="524" max="528" width="11.7109375" style="4" customWidth="1"/>
    <col min="529" max="768" width="8.85546875" style="4"/>
    <col min="769" max="769" width="36.85546875" style="4" customWidth="1"/>
    <col min="770" max="777" width="13.42578125" style="4" customWidth="1"/>
    <col min="778" max="778" width="27.140625" style="4" customWidth="1"/>
    <col min="779" max="779" width="13" style="4" customWidth="1"/>
    <col min="780" max="784" width="11.7109375" style="4" customWidth="1"/>
    <col min="785" max="1024" width="8.85546875" style="4"/>
    <col min="1025" max="1025" width="36.85546875" style="4" customWidth="1"/>
    <col min="1026" max="1033" width="13.42578125" style="4" customWidth="1"/>
    <col min="1034" max="1034" width="27.140625" style="4" customWidth="1"/>
    <col min="1035" max="1035" width="13" style="4" customWidth="1"/>
    <col min="1036" max="1040" width="11.7109375" style="4" customWidth="1"/>
    <col min="1041" max="1280" width="8.85546875" style="4"/>
    <col min="1281" max="1281" width="36.85546875" style="4" customWidth="1"/>
    <col min="1282" max="1289" width="13.42578125" style="4" customWidth="1"/>
    <col min="1290" max="1290" width="27.140625" style="4" customWidth="1"/>
    <col min="1291" max="1291" width="13" style="4" customWidth="1"/>
    <col min="1292" max="1296" width="11.7109375" style="4" customWidth="1"/>
    <col min="1297" max="1536" width="8.85546875" style="4"/>
    <col min="1537" max="1537" width="36.85546875" style="4" customWidth="1"/>
    <col min="1538" max="1545" width="13.42578125" style="4" customWidth="1"/>
    <col min="1546" max="1546" width="27.140625" style="4" customWidth="1"/>
    <col min="1547" max="1547" width="13" style="4" customWidth="1"/>
    <col min="1548" max="1552" width="11.7109375" style="4" customWidth="1"/>
    <col min="1553" max="1792" width="8.85546875" style="4"/>
    <col min="1793" max="1793" width="36.85546875" style="4" customWidth="1"/>
    <col min="1794" max="1801" width="13.42578125" style="4" customWidth="1"/>
    <col min="1802" max="1802" width="27.140625" style="4" customWidth="1"/>
    <col min="1803" max="1803" width="13" style="4" customWidth="1"/>
    <col min="1804" max="1808" width="11.7109375" style="4" customWidth="1"/>
    <col min="1809" max="2048" width="8.85546875" style="4"/>
    <col min="2049" max="2049" width="36.85546875" style="4" customWidth="1"/>
    <col min="2050" max="2057" width="13.42578125" style="4" customWidth="1"/>
    <col min="2058" max="2058" width="27.140625" style="4" customWidth="1"/>
    <col min="2059" max="2059" width="13" style="4" customWidth="1"/>
    <col min="2060" max="2064" width="11.7109375" style="4" customWidth="1"/>
    <col min="2065" max="2304" width="8.85546875" style="4"/>
    <col min="2305" max="2305" width="36.85546875" style="4" customWidth="1"/>
    <col min="2306" max="2313" width="13.42578125" style="4" customWidth="1"/>
    <col min="2314" max="2314" width="27.140625" style="4" customWidth="1"/>
    <col min="2315" max="2315" width="13" style="4" customWidth="1"/>
    <col min="2316" max="2320" width="11.7109375" style="4" customWidth="1"/>
    <col min="2321" max="2560" width="8.85546875" style="4"/>
    <col min="2561" max="2561" width="36.85546875" style="4" customWidth="1"/>
    <col min="2562" max="2569" width="13.42578125" style="4" customWidth="1"/>
    <col min="2570" max="2570" width="27.140625" style="4" customWidth="1"/>
    <col min="2571" max="2571" width="13" style="4" customWidth="1"/>
    <col min="2572" max="2576" width="11.7109375" style="4" customWidth="1"/>
    <col min="2577" max="2816" width="8.85546875" style="4"/>
    <col min="2817" max="2817" width="36.85546875" style="4" customWidth="1"/>
    <col min="2818" max="2825" width="13.42578125" style="4" customWidth="1"/>
    <col min="2826" max="2826" width="27.140625" style="4" customWidth="1"/>
    <col min="2827" max="2827" width="13" style="4" customWidth="1"/>
    <col min="2828" max="2832" width="11.7109375" style="4" customWidth="1"/>
    <col min="2833" max="3072" width="8.85546875" style="4"/>
    <col min="3073" max="3073" width="36.85546875" style="4" customWidth="1"/>
    <col min="3074" max="3081" width="13.42578125" style="4" customWidth="1"/>
    <col min="3082" max="3082" width="27.140625" style="4" customWidth="1"/>
    <col min="3083" max="3083" width="13" style="4" customWidth="1"/>
    <col min="3084" max="3088" width="11.7109375" style="4" customWidth="1"/>
    <col min="3089" max="3328" width="8.85546875" style="4"/>
    <col min="3329" max="3329" width="36.85546875" style="4" customWidth="1"/>
    <col min="3330" max="3337" width="13.42578125" style="4" customWidth="1"/>
    <col min="3338" max="3338" width="27.140625" style="4" customWidth="1"/>
    <col min="3339" max="3339" width="13" style="4" customWidth="1"/>
    <col min="3340" max="3344" width="11.7109375" style="4" customWidth="1"/>
    <col min="3345" max="3584" width="8.85546875" style="4"/>
    <col min="3585" max="3585" width="36.85546875" style="4" customWidth="1"/>
    <col min="3586" max="3593" width="13.42578125" style="4" customWidth="1"/>
    <col min="3594" max="3594" width="27.140625" style="4" customWidth="1"/>
    <col min="3595" max="3595" width="13" style="4" customWidth="1"/>
    <col min="3596" max="3600" width="11.7109375" style="4" customWidth="1"/>
    <col min="3601" max="3840" width="8.85546875" style="4"/>
    <col min="3841" max="3841" width="36.85546875" style="4" customWidth="1"/>
    <col min="3842" max="3849" width="13.42578125" style="4" customWidth="1"/>
    <col min="3850" max="3850" width="27.140625" style="4" customWidth="1"/>
    <col min="3851" max="3851" width="13" style="4" customWidth="1"/>
    <col min="3852" max="3856" width="11.7109375" style="4" customWidth="1"/>
    <col min="3857" max="4096" width="8.85546875" style="4"/>
    <col min="4097" max="4097" width="36.85546875" style="4" customWidth="1"/>
    <col min="4098" max="4105" width="13.42578125" style="4" customWidth="1"/>
    <col min="4106" max="4106" width="27.140625" style="4" customWidth="1"/>
    <col min="4107" max="4107" width="13" style="4" customWidth="1"/>
    <col min="4108" max="4112" width="11.7109375" style="4" customWidth="1"/>
    <col min="4113" max="4352" width="8.85546875" style="4"/>
    <col min="4353" max="4353" width="36.85546875" style="4" customWidth="1"/>
    <col min="4354" max="4361" width="13.42578125" style="4" customWidth="1"/>
    <col min="4362" max="4362" width="27.140625" style="4" customWidth="1"/>
    <col min="4363" max="4363" width="13" style="4" customWidth="1"/>
    <col min="4364" max="4368" width="11.7109375" style="4" customWidth="1"/>
    <col min="4369" max="4608" width="8.85546875" style="4"/>
    <col min="4609" max="4609" width="36.85546875" style="4" customWidth="1"/>
    <col min="4610" max="4617" width="13.42578125" style="4" customWidth="1"/>
    <col min="4618" max="4618" width="27.140625" style="4" customWidth="1"/>
    <col min="4619" max="4619" width="13" style="4" customWidth="1"/>
    <col min="4620" max="4624" width="11.7109375" style="4" customWidth="1"/>
    <col min="4625" max="4864" width="8.85546875" style="4"/>
    <col min="4865" max="4865" width="36.85546875" style="4" customWidth="1"/>
    <col min="4866" max="4873" width="13.42578125" style="4" customWidth="1"/>
    <col min="4874" max="4874" width="27.140625" style="4" customWidth="1"/>
    <col min="4875" max="4875" width="13" style="4" customWidth="1"/>
    <col min="4876" max="4880" width="11.7109375" style="4" customWidth="1"/>
    <col min="4881" max="5120" width="8.85546875" style="4"/>
    <col min="5121" max="5121" width="36.85546875" style="4" customWidth="1"/>
    <col min="5122" max="5129" width="13.42578125" style="4" customWidth="1"/>
    <col min="5130" max="5130" width="27.140625" style="4" customWidth="1"/>
    <col min="5131" max="5131" width="13" style="4" customWidth="1"/>
    <col min="5132" max="5136" width="11.7109375" style="4" customWidth="1"/>
    <col min="5137" max="5376" width="8.85546875" style="4"/>
    <col min="5377" max="5377" width="36.85546875" style="4" customWidth="1"/>
    <col min="5378" max="5385" width="13.42578125" style="4" customWidth="1"/>
    <col min="5386" max="5386" width="27.140625" style="4" customWidth="1"/>
    <col min="5387" max="5387" width="13" style="4" customWidth="1"/>
    <col min="5388" max="5392" width="11.7109375" style="4" customWidth="1"/>
    <col min="5393" max="5632" width="8.85546875" style="4"/>
    <col min="5633" max="5633" width="36.85546875" style="4" customWidth="1"/>
    <col min="5634" max="5641" width="13.42578125" style="4" customWidth="1"/>
    <col min="5642" max="5642" width="27.140625" style="4" customWidth="1"/>
    <col min="5643" max="5643" width="13" style="4" customWidth="1"/>
    <col min="5644" max="5648" width="11.7109375" style="4" customWidth="1"/>
    <col min="5649" max="5888" width="8.85546875" style="4"/>
    <col min="5889" max="5889" width="36.85546875" style="4" customWidth="1"/>
    <col min="5890" max="5897" width="13.42578125" style="4" customWidth="1"/>
    <col min="5898" max="5898" width="27.140625" style="4" customWidth="1"/>
    <col min="5899" max="5899" width="13" style="4" customWidth="1"/>
    <col min="5900" max="5904" width="11.7109375" style="4" customWidth="1"/>
    <col min="5905" max="6144" width="8.85546875" style="4"/>
    <col min="6145" max="6145" width="36.85546875" style="4" customWidth="1"/>
    <col min="6146" max="6153" width="13.42578125" style="4" customWidth="1"/>
    <col min="6154" max="6154" width="27.140625" style="4" customWidth="1"/>
    <col min="6155" max="6155" width="13" style="4" customWidth="1"/>
    <col min="6156" max="6160" width="11.7109375" style="4" customWidth="1"/>
    <col min="6161" max="6400" width="8.85546875" style="4"/>
    <col min="6401" max="6401" width="36.85546875" style="4" customWidth="1"/>
    <col min="6402" max="6409" width="13.42578125" style="4" customWidth="1"/>
    <col min="6410" max="6410" width="27.140625" style="4" customWidth="1"/>
    <col min="6411" max="6411" width="13" style="4" customWidth="1"/>
    <col min="6412" max="6416" width="11.7109375" style="4" customWidth="1"/>
    <col min="6417" max="6656" width="8.85546875" style="4"/>
    <col min="6657" max="6657" width="36.85546875" style="4" customWidth="1"/>
    <col min="6658" max="6665" width="13.42578125" style="4" customWidth="1"/>
    <col min="6666" max="6666" width="27.140625" style="4" customWidth="1"/>
    <col min="6667" max="6667" width="13" style="4" customWidth="1"/>
    <col min="6668" max="6672" width="11.7109375" style="4" customWidth="1"/>
    <col min="6673" max="6912" width="8.85546875" style="4"/>
    <col min="6913" max="6913" width="36.85546875" style="4" customWidth="1"/>
    <col min="6914" max="6921" width="13.42578125" style="4" customWidth="1"/>
    <col min="6922" max="6922" width="27.140625" style="4" customWidth="1"/>
    <col min="6923" max="6923" width="13" style="4" customWidth="1"/>
    <col min="6924" max="6928" width="11.7109375" style="4" customWidth="1"/>
    <col min="6929" max="7168" width="8.85546875" style="4"/>
    <col min="7169" max="7169" width="36.85546875" style="4" customWidth="1"/>
    <col min="7170" max="7177" width="13.42578125" style="4" customWidth="1"/>
    <col min="7178" max="7178" width="27.140625" style="4" customWidth="1"/>
    <col min="7179" max="7179" width="13" style="4" customWidth="1"/>
    <col min="7180" max="7184" width="11.7109375" style="4" customWidth="1"/>
    <col min="7185" max="7424" width="8.85546875" style="4"/>
    <col min="7425" max="7425" width="36.85546875" style="4" customWidth="1"/>
    <col min="7426" max="7433" width="13.42578125" style="4" customWidth="1"/>
    <col min="7434" max="7434" width="27.140625" style="4" customWidth="1"/>
    <col min="7435" max="7435" width="13" style="4" customWidth="1"/>
    <col min="7436" max="7440" width="11.7109375" style="4" customWidth="1"/>
    <col min="7441" max="7680" width="8.85546875" style="4"/>
    <col min="7681" max="7681" width="36.85546875" style="4" customWidth="1"/>
    <col min="7682" max="7689" width="13.42578125" style="4" customWidth="1"/>
    <col min="7690" max="7690" width="27.140625" style="4" customWidth="1"/>
    <col min="7691" max="7691" width="13" style="4" customWidth="1"/>
    <col min="7692" max="7696" width="11.7109375" style="4" customWidth="1"/>
    <col min="7697" max="7936" width="8.85546875" style="4"/>
    <col min="7937" max="7937" width="36.85546875" style="4" customWidth="1"/>
    <col min="7938" max="7945" width="13.42578125" style="4" customWidth="1"/>
    <col min="7946" max="7946" width="27.140625" style="4" customWidth="1"/>
    <col min="7947" max="7947" width="13" style="4" customWidth="1"/>
    <col min="7948" max="7952" width="11.7109375" style="4" customWidth="1"/>
    <col min="7953" max="8192" width="8.85546875" style="4"/>
    <col min="8193" max="8193" width="36.85546875" style="4" customWidth="1"/>
    <col min="8194" max="8201" width="13.42578125" style="4" customWidth="1"/>
    <col min="8202" max="8202" width="27.140625" style="4" customWidth="1"/>
    <col min="8203" max="8203" width="13" style="4" customWidth="1"/>
    <col min="8204" max="8208" width="11.7109375" style="4" customWidth="1"/>
    <col min="8209" max="8448" width="8.85546875" style="4"/>
    <col min="8449" max="8449" width="36.85546875" style="4" customWidth="1"/>
    <col min="8450" max="8457" width="13.42578125" style="4" customWidth="1"/>
    <col min="8458" max="8458" width="27.140625" style="4" customWidth="1"/>
    <col min="8459" max="8459" width="13" style="4" customWidth="1"/>
    <col min="8460" max="8464" width="11.7109375" style="4" customWidth="1"/>
    <col min="8465" max="8704" width="8.85546875" style="4"/>
    <col min="8705" max="8705" width="36.85546875" style="4" customWidth="1"/>
    <col min="8706" max="8713" width="13.42578125" style="4" customWidth="1"/>
    <col min="8714" max="8714" width="27.140625" style="4" customWidth="1"/>
    <col min="8715" max="8715" width="13" style="4" customWidth="1"/>
    <col min="8716" max="8720" width="11.7109375" style="4" customWidth="1"/>
    <col min="8721" max="8960" width="8.85546875" style="4"/>
    <col min="8961" max="8961" width="36.85546875" style="4" customWidth="1"/>
    <col min="8962" max="8969" width="13.42578125" style="4" customWidth="1"/>
    <col min="8970" max="8970" width="27.140625" style="4" customWidth="1"/>
    <col min="8971" max="8971" width="13" style="4" customWidth="1"/>
    <col min="8972" max="8976" width="11.7109375" style="4" customWidth="1"/>
    <col min="8977" max="9216" width="8.85546875" style="4"/>
    <col min="9217" max="9217" width="36.85546875" style="4" customWidth="1"/>
    <col min="9218" max="9225" width="13.42578125" style="4" customWidth="1"/>
    <col min="9226" max="9226" width="27.140625" style="4" customWidth="1"/>
    <col min="9227" max="9227" width="13" style="4" customWidth="1"/>
    <col min="9228" max="9232" width="11.7109375" style="4" customWidth="1"/>
    <col min="9233" max="9472" width="8.85546875" style="4"/>
    <col min="9473" max="9473" width="36.85546875" style="4" customWidth="1"/>
    <col min="9474" max="9481" width="13.42578125" style="4" customWidth="1"/>
    <col min="9482" max="9482" width="27.140625" style="4" customWidth="1"/>
    <col min="9483" max="9483" width="13" style="4" customWidth="1"/>
    <col min="9484" max="9488" width="11.7109375" style="4" customWidth="1"/>
    <col min="9489" max="9728" width="8.85546875" style="4"/>
    <col min="9729" max="9729" width="36.85546875" style="4" customWidth="1"/>
    <col min="9730" max="9737" width="13.42578125" style="4" customWidth="1"/>
    <col min="9738" max="9738" width="27.140625" style="4" customWidth="1"/>
    <col min="9739" max="9739" width="13" style="4" customWidth="1"/>
    <col min="9740" max="9744" width="11.7109375" style="4" customWidth="1"/>
    <col min="9745" max="9984" width="8.85546875" style="4"/>
    <col min="9985" max="9985" width="36.85546875" style="4" customWidth="1"/>
    <col min="9986" max="9993" width="13.42578125" style="4" customWidth="1"/>
    <col min="9994" max="9994" width="27.140625" style="4" customWidth="1"/>
    <col min="9995" max="9995" width="13" style="4" customWidth="1"/>
    <col min="9996" max="10000" width="11.7109375" style="4" customWidth="1"/>
    <col min="10001" max="10240" width="8.85546875" style="4"/>
    <col min="10241" max="10241" width="36.85546875" style="4" customWidth="1"/>
    <col min="10242" max="10249" width="13.42578125" style="4" customWidth="1"/>
    <col min="10250" max="10250" width="27.140625" style="4" customWidth="1"/>
    <col min="10251" max="10251" width="13" style="4" customWidth="1"/>
    <col min="10252" max="10256" width="11.7109375" style="4" customWidth="1"/>
    <col min="10257" max="10496" width="8.85546875" style="4"/>
    <col min="10497" max="10497" width="36.85546875" style="4" customWidth="1"/>
    <col min="10498" max="10505" width="13.42578125" style="4" customWidth="1"/>
    <col min="10506" max="10506" width="27.140625" style="4" customWidth="1"/>
    <col min="10507" max="10507" width="13" style="4" customWidth="1"/>
    <col min="10508" max="10512" width="11.7109375" style="4" customWidth="1"/>
    <col min="10513" max="10752" width="8.85546875" style="4"/>
    <col min="10753" max="10753" width="36.85546875" style="4" customWidth="1"/>
    <col min="10754" max="10761" width="13.42578125" style="4" customWidth="1"/>
    <col min="10762" max="10762" width="27.140625" style="4" customWidth="1"/>
    <col min="10763" max="10763" width="13" style="4" customWidth="1"/>
    <col min="10764" max="10768" width="11.7109375" style="4" customWidth="1"/>
    <col min="10769" max="11008" width="8.85546875" style="4"/>
    <col min="11009" max="11009" width="36.85546875" style="4" customWidth="1"/>
    <col min="11010" max="11017" width="13.42578125" style="4" customWidth="1"/>
    <col min="11018" max="11018" width="27.140625" style="4" customWidth="1"/>
    <col min="11019" max="11019" width="13" style="4" customWidth="1"/>
    <col min="11020" max="11024" width="11.7109375" style="4" customWidth="1"/>
    <col min="11025" max="11264" width="8.85546875" style="4"/>
    <col min="11265" max="11265" width="36.85546875" style="4" customWidth="1"/>
    <col min="11266" max="11273" width="13.42578125" style="4" customWidth="1"/>
    <col min="11274" max="11274" width="27.140625" style="4" customWidth="1"/>
    <col min="11275" max="11275" width="13" style="4" customWidth="1"/>
    <col min="11276" max="11280" width="11.7109375" style="4" customWidth="1"/>
    <col min="11281" max="11520" width="8.85546875" style="4"/>
    <col min="11521" max="11521" width="36.85546875" style="4" customWidth="1"/>
    <col min="11522" max="11529" width="13.42578125" style="4" customWidth="1"/>
    <col min="11530" max="11530" width="27.140625" style="4" customWidth="1"/>
    <col min="11531" max="11531" width="13" style="4" customWidth="1"/>
    <col min="11532" max="11536" width="11.7109375" style="4" customWidth="1"/>
    <col min="11537" max="11776" width="8.85546875" style="4"/>
    <col min="11777" max="11777" width="36.85546875" style="4" customWidth="1"/>
    <col min="11778" max="11785" width="13.42578125" style="4" customWidth="1"/>
    <col min="11786" max="11786" width="27.140625" style="4" customWidth="1"/>
    <col min="11787" max="11787" width="13" style="4" customWidth="1"/>
    <col min="11788" max="11792" width="11.7109375" style="4" customWidth="1"/>
    <col min="11793" max="12032" width="8.85546875" style="4"/>
    <col min="12033" max="12033" width="36.85546875" style="4" customWidth="1"/>
    <col min="12034" max="12041" width="13.42578125" style="4" customWidth="1"/>
    <col min="12042" max="12042" width="27.140625" style="4" customWidth="1"/>
    <col min="12043" max="12043" width="13" style="4" customWidth="1"/>
    <col min="12044" max="12048" width="11.7109375" style="4" customWidth="1"/>
    <col min="12049" max="12288" width="8.85546875" style="4"/>
    <col min="12289" max="12289" width="36.85546875" style="4" customWidth="1"/>
    <col min="12290" max="12297" width="13.42578125" style="4" customWidth="1"/>
    <col min="12298" max="12298" width="27.140625" style="4" customWidth="1"/>
    <col min="12299" max="12299" width="13" style="4" customWidth="1"/>
    <col min="12300" max="12304" width="11.7109375" style="4" customWidth="1"/>
    <col min="12305" max="12544" width="8.85546875" style="4"/>
    <col min="12545" max="12545" width="36.85546875" style="4" customWidth="1"/>
    <col min="12546" max="12553" width="13.42578125" style="4" customWidth="1"/>
    <col min="12554" max="12554" width="27.140625" style="4" customWidth="1"/>
    <col min="12555" max="12555" width="13" style="4" customWidth="1"/>
    <col min="12556" max="12560" width="11.7109375" style="4" customWidth="1"/>
    <col min="12561" max="12800" width="8.85546875" style="4"/>
    <col min="12801" max="12801" width="36.85546875" style="4" customWidth="1"/>
    <col min="12802" max="12809" width="13.42578125" style="4" customWidth="1"/>
    <col min="12810" max="12810" width="27.140625" style="4" customWidth="1"/>
    <col min="12811" max="12811" width="13" style="4" customWidth="1"/>
    <col min="12812" max="12816" width="11.7109375" style="4" customWidth="1"/>
    <col min="12817" max="13056" width="8.85546875" style="4"/>
    <col min="13057" max="13057" width="36.85546875" style="4" customWidth="1"/>
    <col min="13058" max="13065" width="13.42578125" style="4" customWidth="1"/>
    <col min="13066" max="13066" width="27.140625" style="4" customWidth="1"/>
    <col min="13067" max="13067" width="13" style="4" customWidth="1"/>
    <col min="13068" max="13072" width="11.7109375" style="4" customWidth="1"/>
    <col min="13073" max="13312" width="8.85546875" style="4"/>
    <col min="13313" max="13313" width="36.85546875" style="4" customWidth="1"/>
    <col min="13314" max="13321" width="13.42578125" style="4" customWidth="1"/>
    <col min="13322" max="13322" width="27.140625" style="4" customWidth="1"/>
    <col min="13323" max="13323" width="13" style="4" customWidth="1"/>
    <col min="13324" max="13328" width="11.7109375" style="4" customWidth="1"/>
    <col min="13329" max="13568" width="8.85546875" style="4"/>
    <col min="13569" max="13569" width="36.85546875" style="4" customWidth="1"/>
    <col min="13570" max="13577" width="13.42578125" style="4" customWidth="1"/>
    <col min="13578" max="13578" width="27.140625" style="4" customWidth="1"/>
    <col min="13579" max="13579" width="13" style="4" customWidth="1"/>
    <col min="13580" max="13584" width="11.7109375" style="4" customWidth="1"/>
    <col min="13585" max="13824" width="8.85546875" style="4"/>
    <col min="13825" max="13825" width="36.85546875" style="4" customWidth="1"/>
    <col min="13826" max="13833" width="13.42578125" style="4" customWidth="1"/>
    <col min="13834" max="13834" width="27.140625" style="4" customWidth="1"/>
    <col min="13835" max="13835" width="13" style="4" customWidth="1"/>
    <col min="13836" max="13840" width="11.7109375" style="4" customWidth="1"/>
    <col min="13841" max="14080" width="8.85546875" style="4"/>
    <col min="14081" max="14081" width="36.85546875" style="4" customWidth="1"/>
    <col min="14082" max="14089" width="13.42578125" style="4" customWidth="1"/>
    <col min="14090" max="14090" width="27.140625" style="4" customWidth="1"/>
    <col min="14091" max="14091" width="13" style="4" customWidth="1"/>
    <col min="14092" max="14096" width="11.7109375" style="4" customWidth="1"/>
    <col min="14097" max="14336" width="8.85546875" style="4"/>
    <col min="14337" max="14337" width="36.85546875" style="4" customWidth="1"/>
    <col min="14338" max="14345" width="13.42578125" style="4" customWidth="1"/>
    <col min="14346" max="14346" width="27.140625" style="4" customWidth="1"/>
    <col min="14347" max="14347" width="13" style="4" customWidth="1"/>
    <col min="14348" max="14352" width="11.7109375" style="4" customWidth="1"/>
    <col min="14353" max="14592" width="8.85546875" style="4"/>
    <col min="14593" max="14593" width="36.85546875" style="4" customWidth="1"/>
    <col min="14594" max="14601" width="13.42578125" style="4" customWidth="1"/>
    <col min="14602" max="14602" width="27.140625" style="4" customWidth="1"/>
    <col min="14603" max="14603" width="13" style="4" customWidth="1"/>
    <col min="14604" max="14608" width="11.7109375" style="4" customWidth="1"/>
    <col min="14609" max="14848" width="8.85546875" style="4"/>
    <col min="14849" max="14849" width="36.85546875" style="4" customWidth="1"/>
    <col min="14850" max="14857" width="13.42578125" style="4" customWidth="1"/>
    <col min="14858" max="14858" width="27.140625" style="4" customWidth="1"/>
    <col min="14859" max="14859" width="13" style="4" customWidth="1"/>
    <col min="14860" max="14864" width="11.7109375" style="4" customWidth="1"/>
    <col min="14865" max="15104" width="8.85546875" style="4"/>
    <col min="15105" max="15105" width="36.85546875" style="4" customWidth="1"/>
    <col min="15106" max="15113" width="13.42578125" style="4" customWidth="1"/>
    <col min="15114" max="15114" width="27.140625" style="4" customWidth="1"/>
    <col min="15115" max="15115" width="13" style="4" customWidth="1"/>
    <col min="15116" max="15120" width="11.7109375" style="4" customWidth="1"/>
    <col min="15121" max="15360" width="8.85546875" style="4"/>
    <col min="15361" max="15361" width="36.85546875" style="4" customWidth="1"/>
    <col min="15362" max="15369" width="13.42578125" style="4" customWidth="1"/>
    <col min="15370" max="15370" width="27.140625" style="4" customWidth="1"/>
    <col min="15371" max="15371" width="13" style="4" customWidth="1"/>
    <col min="15372" max="15376" width="11.7109375" style="4" customWidth="1"/>
    <col min="15377" max="15616" width="8.85546875" style="4"/>
    <col min="15617" max="15617" width="36.85546875" style="4" customWidth="1"/>
    <col min="15618" max="15625" width="13.42578125" style="4" customWidth="1"/>
    <col min="15626" max="15626" width="27.140625" style="4" customWidth="1"/>
    <col min="15627" max="15627" width="13" style="4" customWidth="1"/>
    <col min="15628" max="15632" width="11.7109375" style="4" customWidth="1"/>
    <col min="15633" max="15872" width="8.85546875" style="4"/>
    <col min="15873" max="15873" width="36.85546875" style="4" customWidth="1"/>
    <col min="15874" max="15881" width="13.42578125" style="4" customWidth="1"/>
    <col min="15882" max="15882" width="27.140625" style="4" customWidth="1"/>
    <col min="15883" max="15883" width="13" style="4" customWidth="1"/>
    <col min="15884" max="15888" width="11.7109375" style="4" customWidth="1"/>
    <col min="15889" max="16128" width="8.85546875" style="4"/>
    <col min="16129" max="16129" width="36.85546875" style="4" customWidth="1"/>
    <col min="16130" max="16137" width="13.42578125" style="4" customWidth="1"/>
    <col min="16138" max="16138" width="27.140625" style="4" customWidth="1"/>
    <col min="16139" max="16139" width="13" style="4" customWidth="1"/>
    <col min="16140" max="16144" width="11.7109375" style="4" customWidth="1"/>
    <col min="16145" max="16384" width="8.85546875" style="4"/>
  </cols>
  <sheetData>
    <row r="4" spans="1:15" ht="15.75">
      <c r="A4" s="3"/>
      <c r="B4" s="21"/>
      <c r="C4" s="21"/>
      <c r="D4" s="21"/>
      <c r="E4" s="21"/>
      <c r="F4" s="21"/>
      <c r="G4" s="21"/>
      <c r="H4" s="21"/>
      <c r="I4" s="21"/>
      <c r="J4" s="21"/>
    </row>
    <row r="7" spans="1:15">
      <c r="A7" s="7" t="s">
        <v>185</v>
      </c>
      <c r="B7" s="126" t="s">
        <v>186</v>
      </c>
      <c r="C7" s="21"/>
      <c r="D7" s="21"/>
      <c r="E7" s="21"/>
      <c r="F7" s="21"/>
      <c r="G7" s="21"/>
      <c r="H7" s="21"/>
      <c r="I7" s="21"/>
      <c r="J7" s="21"/>
    </row>
    <row r="8" spans="1:15">
      <c r="A8" s="7" t="s">
        <v>187</v>
      </c>
      <c r="B8" s="8">
        <v>43051</v>
      </c>
      <c r="C8" s="21"/>
      <c r="D8" s="21"/>
      <c r="E8" s="21"/>
      <c r="F8" s="21"/>
      <c r="G8" s="21"/>
      <c r="H8" s="21"/>
      <c r="I8" s="21"/>
      <c r="J8" s="21"/>
    </row>
    <row r="9" spans="1:15">
      <c r="A9" s="9"/>
      <c r="B9" s="21"/>
      <c r="C9" s="21"/>
      <c r="D9" s="21"/>
      <c r="E9" s="21"/>
      <c r="F9" s="21"/>
      <c r="G9" s="21"/>
      <c r="H9" s="21"/>
      <c r="I9" s="21"/>
      <c r="J9" s="21"/>
    </row>
    <row r="11" spans="1:15" ht="12.75">
      <c r="A11" s="6"/>
      <c r="B11" s="6"/>
      <c r="C11" s="6"/>
      <c r="D11" s="6"/>
      <c r="E11" s="6"/>
      <c r="F11" s="6"/>
      <c r="G11" s="6"/>
      <c r="H11" s="6"/>
      <c r="I11" s="6"/>
      <c r="J11" s="6"/>
      <c r="K11" s="127"/>
      <c r="L11" s="127"/>
      <c r="M11" s="127"/>
      <c r="N11" s="127"/>
      <c r="O11" s="127"/>
    </row>
    <row r="12" spans="1:15" ht="38.25">
      <c r="A12" s="29" t="s">
        <v>188</v>
      </c>
      <c r="B12" s="32" t="s">
        <v>189</v>
      </c>
      <c r="C12" s="32" t="s">
        <v>190</v>
      </c>
      <c r="D12" s="32" t="s">
        <v>191</v>
      </c>
      <c r="E12" s="32" t="s">
        <v>192</v>
      </c>
      <c r="F12" s="32" t="s">
        <v>193</v>
      </c>
      <c r="G12" s="32" t="s">
        <v>194</v>
      </c>
      <c r="H12" s="32" t="s">
        <v>195</v>
      </c>
      <c r="I12" s="32" t="s">
        <v>196</v>
      </c>
      <c r="J12" s="32" t="s">
        <v>197</v>
      </c>
      <c r="K12" s="122" t="s">
        <v>198</v>
      </c>
      <c r="L12" s="122" t="s">
        <v>199</v>
      </c>
      <c r="M12" s="122" t="s">
        <v>200</v>
      </c>
      <c r="N12" s="122" t="s">
        <v>201</v>
      </c>
      <c r="O12" s="122" t="s">
        <v>202</v>
      </c>
    </row>
    <row r="13" spans="1:15" ht="12" customHeight="1">
      <c r="A13" s="29" t="s">
        <v>203</v>
      </c>
      <c r="B13" s="129">
        <v>102.67</v>
      </c>
      <c r="C13" s="129">
        <v>746.1</v>
      </c>
      <c r="D13" s="131">
        <v>76602.09</v>
      </c>
      <c r="E13" s="131">
        <v>86907.09</v>
      </c>
      <c r="F13" s="134">
        <v>12973</v>
      </c>
      <c r="G13" s="131">
        <v>6927</v>
      </c>
      <c r="H13" s="131">
        <v>3891</v>
      </c>
      <c r="I13" s="131">
        <v>15085</v>
      </c>
      <c r="J13" s="11">
        <v>5545</v>
      </c>
      <c r="K13" s="13">
        <f>E13/G13</f>
        <v>12.546136855781723</v>
      </c>
      <c r="L13" s="13">
        <f>D13/F13</f>
        <v>5.904732135974716</v>
      </c>
      <c r="M13" s="13">
        <f>D13/H13</f>
        <v>19.686993060909792</v>
      </c>
      <c r="N13" s="13">
        <f>D13/I13</f>
        <v>5.0780304938680807</v>
      </c>
      <c r="O13" s="13">
        <f>D13/J13</f>
        <v>13.814623985572588</v>
      </c>
    </row>
    <row r="14" spans="1:15" ht="12" customHeight="1">
      <c r="A14" s="29" t="s">
        <v>204</v>
      </c>
      <c r="B14" s="129">
        <v>158.91999999999999</v>
      </c>
      <c r="C14" s="129">
        <v>286.14999999999998</v>
      </c>
      <c r="D14" s="131">
        <v>45475.77</v>
      </c>
      <c r="E14" s="131">
        <v>57269.73</v>
      </c>
      <c r="F14" s="131">
        <v>12963.86</v>
      </c>
      <c r="G14" s="131">
        <v>5479.52</v>
      </c>
      <c r="H14" s="131">
        <v>2314.8000000000002</v>
      </c>
      <c r="I14" s="131">
        <v>15907.35</v>
      </c>
      <c r="J14" s="11">
        <v>3983.4</v>
      </c>
      <c r="K14" s="13">
        <f>E14/G14</f>
        <v>10.451596125208047</v>
      </c>
      <c r="L14" s="13">
        <f>D14/F14</f>
        <v>3.5078880827161041</v>
      </c>
      <c r="M14" s="13">
        <f>D14/H14</f>
        <v>19.645658372213578</v>
      </c>
      <c r="N14" s="13">
        <f>D14/I14</f>
        <v>2.8587898047129157</v>
      </c>
      <c r="O14" s="13">
        <f>D14/J14</f>
        <v>11.416320228950141</v>
      </c>
    </row>
    <row r="15" spans="1:15" ht="12" customHeight="1">
      <c r="A15" s="29" t="s">
        <v>205</v>
      </c>
      <c r="B15" s="130">
        <v>62.59</v>
      </c>
      <c r="C15" s="130">
        <v>893.72</v>
      </c>
      <c r="D15" s="132">
        <v>55942.14</v>
      </c>
      <c r="E15" s="133">
        <v>69838.42</v>
      </c>
      <c r="F15" s="132">
        <v>14476.23</v>
      </c>
      <c r="G15" s="132">
        <v>6551.92</v>
      </c>
      <c r="H15" s="132">
        <v>2236.0500000000002</v>
      </c>
      <c r="I15" s="132">
        <v>13607.55</v>
      </c>
      <c r="J15" s="26">
        <v>4267.12</v>
      </c>
      <c r="K15" s="13">
        <f>E15/G15</f>
        <v>10.65922966092382</v>
      </c>
      <c r="L15" s="13">
        <f>D15/F15</f>
        <v>3.86441359387078</v>
      </c>
      <c r="M15" s="13">
        <f>D15/H15</f>
        <v>25.018286710941165</v>
      </c>
      <c r="N15" s="13">
        <f>D15/I15</f>
        <v>4.1111103762249632</v>
      </c>
      <c r="O15" s="13">
        <f>D15/J15</f>
        <v>13.11004612009974</v>
      </c>
    </row>
    <row r="16" spans="1:15" ht="12" customHeight="1">
      <c r="A16" s="29" t="s">
        <v>206</v>
      </c>
      <c r="B16" s="130">
        <v>145.86000000000001</v>
      </c>
      <c r="C16" s="130">
        <v>787.17</v>
      </c>
      <c r="D16" s="132">
        <v>114818.15</v>
      </c>
      <c r="E16" s="132">
        <v>133436.51</v>
      </c>
      <c r="F16" s="132">
        <v>26195.19</v>
      </c>
      <c r="G16" s="132">
        <v>12438.91</v>
      </c>
      <c r="H16" s="132">
        <v>5722</v>
      </c>
      <c r="I16" s="132">
        <v>23936.639999999999</v>
      </c>
      <c r="J16" s="26">
        <v>9319.18</v>
      </c>
      <c r="K16" s="13">
        <f>E16/G16</f>
        <v>10.727347492666159</v>
      </c>
      <c r="L16" s="13">
        <f>D16/F16</f>
        <v>4.3831768351365268</v>
      </c>
      <c r="M16" s="13">
        <f>D16/H16</f>
        <v>20.066087032506115</v>
      </c>
      <c r="N16" s="13">
        <f>D16/I16</f>
        <v>4.7967530112831209</v>
      </c>
      <c r="O16" s="13">
        <f>D16/J16</f>
        <v>12.320627995166955</v>
      </c>
    </row>
    <row r="17" spans="1:17" s="5" customFormat="1" ht="12.75">
      <c r="A17" s="30"/>
      <c r="B17" s="14"/>
      <c r="C17" s="14"/>
      <c r="D17" s="14"/>
      <c r="E17" s="14"/>
      <c r="F17" s="14"/>
      <c r="G17" s="14"/>
      <c r="H17" s="14"/>
      <c r="I17" s="14"/>
      <c r="J17" s="14"/>
      <c r="K17" s="13"/>
      <c r="L17" s="13"/>
      <c r="M17" s="13"/>
      <c r="N17" s="13"/>
      <c r="O17" s="13"/>
      <c r="P17" s="21"/>
    </row>
    <row r="18" spans="1:17" ht="12.75">
      <c r="A18" s="31"/>
      <c r="B18" s="22"/>
      <c r="C18" s="22"/>
      <c r="D18" s="22"/>
      <c r="E18" s="22"/>
      <c r="F18" s="22"/>
      <c r="G18" s="22"/>
      <c r="H18" s="22"/>
      <c r="I18" s="22"/>
      <c r="J18" s="22"/>
      <c r="K18" s="128"/>
      <c r="L18" s="128"/>
      <c r="M18" s="128"/>
      <c r="N18" s="128"/>
      <c r="O18" s="128"/>
      <c r="P18" s="21"/>
      <c r="Q18" s="21"/>
    </row>
    <row r="19" spans="1:17" ht="12" customHeight="1">
      <c r="A19" s="29" t="s">
        <v>207</v>
      </c>
      <c r="B19" s="11">
        <v>222.23</v>
      </c>
      <c r="C19" s="12">
        <v>144.97</v>
      </c>
      <c r="D19" s="12">
        <v>32216.06</v>
      </c>
      <c r="E19" s="12">
        <v>40266.06</v>
      </c>
      <c r="F19" s="12">
        <v>6478</v>
      </c>
      <c r="G19" s="12">
        <v>3349</v>
      </c>
      <c r="H19" s="12">
        <v>1805</v>
      </c>
      <c r="I19" s="12">
        <v>5565</v>
      </c>
      <c r="J19" s="11">
        <v>2217</v>
      </c>
      <c r="K19" s="13">
        <f>E19/G19</f>
        <v>12.023308450283666</v>
      </c>
      <c r="L19" s="13">
        <f>D19/F19</f>
        <v>4.9731491200987961</v>
      </c>
      <c r="M19" s="13">
        <f>D19/H19</f>
        <v>17.848232686980609</v>
      </c>
      <c r="N19" s="13">
        <f>D19/I19</f>
        <v>5.7890494159928121</v>
      </c>
      <c r="O19" s="13">
        <f>D19/J19</f>
        <v>14.531375732972485</v>
      </c>
      <c r="P19" s="21"/>
      <c r="Q19" s="21"/>
    </row>
    <row r="20" spans="1:17" ht="12.75">
      <c r="A20" s="15"/>
      <c r="B20" s="15"/>
      <c r="C20" s="15"/>
      <c r="D20" s="15"/>
      <c r="E20" s="15"/>
      <c r="F20" s="15"/>
      <c r="G20" s="15"/>
      <c r="H20" s="15"/>
      <c r="I20" s="15"/>
      <c r="J20" s="21"/>
      <c r="P20" s="21"/>
      <c r="Q20" s="21"/>
    </row>
    <row r="21" spans="1:17" ht="15">
      <c r="A21"/>
      <c r="B21"/>
      <c r="C21"/>
      <c r="D21"/>
      <c r="E21"/>
      <c r="F21"/>
      <c r="G21"/>
      <c r="H21"/>
      <c r="I21"/>
      <c r="J21"/>
      <c r="K21" s="10"/>
      <c r="L21" s="10"/>
      <c r="M21" s="10"/>
      <c r="N21" s="10"/>
      <c r="O21" s="10"/>
      <c r="P21" s="21"/>
      <c r="Q21" s="21"/>
    </row>
    <row r="22" spans="1:17" ht="15">
      <c r="A22"/>
      <c r="B22"/>
      <c r="C22"/>
      <c r="D22"/>
      <c r="E22"/>
      <c r="F22"/>
      <c r="G22"/>
      <c r="H22"/>
      <c r="I22"/>
      <c r="J22" s="137" t="s">
        <v>208</v>
      </c>
      <c r="K22" s="138">
        <f>AVERAGE(K13,K19)</f>
        <v>12.284722653032695</v>
      </c>
      <c r="L22" s="138">
        <f>AVERAGE(L13,L19)</f>
        <v>5.4389406280367556</v>
      </c>
      <c r="M22" s="138">
        <f>AVERAGE(M13,M19)</f>
        <v>18.7676128739452</v>
      </c>
      <c r="N22" s="138">
        <f>AVERAGE(N13,N19)</f>
        <v>5.4335399549304464</v>
      </c>
      <c r="O22" s="138">
        <f>AVERAGE(O13,O19)</f>
        <v>14.172999859272537</v>
      </c>
      <c r="P22" s="21"/>
      <c r="Q22" s="21"/>
    </row>
    <row r="23" spans="1:17" ht="15">
      <c r="A23"/>
      <c r="B23"/>
      <c r="C23"/>
      <c r="D23"/>
      <c r="E23"/>
      <c r="F23"/>
      <c r="G23"/>
      <c r="H23"/>
      <c r="I23"/>
      <c r="J23"/>
      <c r="K23" s="10"/>
      <c r="L23" s="10"/>
      <c r="M23" s="10"/>
      <c r="N23" s="10"/>
      <c r="O23" s="10"/>
      <c r="P23" s="21"/>
      <c r="Q23" s="21"/>
    </row>
    <row r="24" spans="1:17" ht="15">
      <c r="A24"/>
      <c r="B24"/>
      <c r="C24"/>
      <c r="D24"/>
      <c r="E24"/>
      <c r="F24"/>
      <c r="G24"/>
      <c r="H24"/>
      <c r="I24"/>
      <c r="J24" s="135" t="s">
        <v>209</v>
      </c>
      <c r="K24" s="136">
        <f>AVERAGE(K13:K16)</f>
        <v>11.096077533644937</v>
      </c>
      <c r="L24" s="136">
        <f>AVERAGE(L13:L16)</f>
        <v>4.4150526619245323</v>
      </c>
      <c r="M24" s="136">
        <f>AVERAGE(M13:M16)</f>
        <v>21.104256294142665</v>
      </c>
      <c r="N24" s="136">
        <f>AVERAGE(N13:N16)</f>
        <v>4.2111709215222701</v>
      </c>
      <c r="O24" s="136">
        <f>AVERAGE(O13:O16)</f>
        <v>12.665404582447355</v>
      </c>
      <c r="P24" s="21"/>
      <c r="Q24" s="21"/>
    </row>
    <row r="25" spans="1:17" ht="15">
      <c r="A25"/>
      <c r="B25"/>
      <c r="C25"/>
      <c r="D25"/>
      <c r="E25"/>
      <c r="F25"/>
      <c r="G25"/>
      <c r="H25"/>
      <c r="I25"/>
      <c r="J25"/>
      <c r="K25" s="10"/>
      <c r="L25" s="10"/>
      <c r="M25" s="10"/>
      <c r="N25" s="10"/>
      <c r="O25" s="10"/>
      <c r="P25" s="21"/>
      <c r="Q25" s="21"/>
    </row>
    <row r="26" spans="1:17">
      <c r="A26" s="16"/>
      <c r="B26" s="16"/>
      <c r="C26" s="16"/>
      <c r="D26" s="16"/>
      <c r="E26" s="16"/>
      <c r="F26" s="16"/>
      <c r="G26" s="16"/>
      <c r="H26" s="16"/>
      <c r="I26" s="16"/>
      <c r="J26" s="16"/>
      <c r="P26" s="21"/>
      <c r="Q26" s="21"/>
    </row>
    <row r="27" spans="1:17" ht="12.75">
      <c r="A27" s="21"/>
      <c r="B27" s="21"/>
      <c r="C27" s="21"/>
      <c r="D27" s="21"/>
      <c r="E27" s="21"/>
      <c r="F27" s="21"/>
      <c r="G27" s="21"/>
      <c r="H27" s="21"/>
      <c r="I27" s="21"/>
      <c r="J27" s="17"/>
      <c r="P27" s="21"/>
      <c r="Q27" s="21"/>
    </row>
    <row r="28" spans="1:17" ht="12.75">
      <c r="A28" s="21"/>
      <c r="B28" s="21"/>
      <c r="C28" s="21"/>
      <c r="D28" s="21"/>
      <c r="E28" s="21"/>
      <c r="F28" s="21"/>
      <c r="G28" s="21"/>
      <c r="H28" s="21"/>
      <c r="I28" s="21"/>
      <c r="J28" s="33" t="s">
        <v>210</v>
      </c>
      <c r="K28" s="13">
        <f>G19*K24</f>
        <v>37160.763660176897</v>
      </c>
      <c r="L28" s="139">
        <f>F19*L24</f>
        <v>28600.711143947119</v>
      </c>
      <c r="M28" s="13">
        <f>H19*M24</f>
        <v>38093.182610927513</v>
      </c>
      <c r="N28" s="13">
        <f>I19*N24</f>
        <v>23435.166178271433</v>
      </c>
      <c r="O28" s="13">
        <f>J19*O24</f>
        <v>28079.201959285787</v>
      </c>
      <c r="P28" s="21"/>
      <c r="Q28" s="21"/>
    </row>
    <row r="29" spans="1:17" ht="12.75">
      <c r="A29" s="21"/>
      <c r="B29" s="21"/>
      <c r="C29" s="21"/>
      <c r="D29" s="21"/>
      <c r="E29" s="21"/>
      <c r="F29" s="21"/>
      <c r="G29" s="21"/>
      <c r="H29" s="21"/>
      <c r="I29" s="21"/>
      <c r="J29" s="33" t="s">
        <v>211</v>
      </c>
      <c r="K29" s="13">
        <f>G19*K22</f>
        <v>41141.536165006495</v>
      </c>
      <c r="L29" s="13">
        <f>F19*L22</f>
        <v>35233.457388422103</v>
      </c>
      <c r="M29" s="13">
        <f>H19*M22</f>
        <v>33875.541237471087</v>
      </c>
      <c r="N29" s="13">
        <f>I19*N22</f>
        <v>30237.649849187936</v>
      </c>
      <c r="O29" s="13">
        <f>J19*O22</f>
        <v>31421.540688007215</v>
      </c>
      <c r="P29" s="21"/>
      <c r="Q29" s="21"/>
    </row>
    <row r="30" spans="1:17" ht="12.75">
      <c r="A30" s="21"/>
      <c r="B30" s="21"/>
      <c r="C30" s="21"/>
      <c r="D30" s="21"/>
      <c r="E30" s="21"/>
      <c r="F30" s="21"/>
      <c r="G30" s="21"/>
      <c r="H30" s="21"/>
      <c r="I30" s="21"/>
      <c r="J30" s="33" t="s">
        <v>212</v>
      </c>
      <c r="K30" s="13">
        <f>G19*K13</f>
        <v>42017.012330012993</v>
      </c>
      <c r="L30" s="13">
        <f>F19*L13</f>
        <v>38250.854776844208</v>
      </c>
      <c r="M30" s="13">
        <f>H19*M13</f>
        <v>35535.022474942176</v>
      </c>
      <c r="N30" s="13">
        <f>I19*N13</f>
        <v>28259.23969837587</v>
      </c>
      <c r="O30" s="13">
        <f>J19*O13</f>
        <v>30627.021376014429</v>
      </c>
      <c r="P30" s="21"/>
      <c r="Q30" s="21"/>
    </row>
    <row r="31" spans="1:17" ht="12.75">
      <c r="A31" s="21" t="s">
        <v>213</v>
      </c>
      <c r="B31" s="21"/>
      <c r="C31" s="21"/>
      <c r="D31" s="21"/>
      <c r="E31" s="21"/>
      <c r="F31" s="21"/>
      <c r="G31" s="21"/>
      <c r="H31" s="21"/>
      <c r="I31" s="21"/>
      <c r="J31" s="33" t="s">
        <v>214</v>
      </c>
      <c r="K31" s="13">
        <f>G19*K19</f>
        <v>40266.06</v>
      </c>
      <c r="L31" s="13">
        <f>F19*L19</f>
        <v>32216.06</v>
      </c>
      <c r="M31" s="13">
        <f>H19*M19</f>
        <v>32216.059999999998</v>
      </c>
      <c r="N31" s="13">
        <f>I19*N19</f>
        <v>32216.059999999998</v>
      </c>
      <c r="O31" s="13">
        <f>J19*O19</f>
        <v>32216.059999999998</v>
      </c>
      <c r="P31" s="21"/>
      <c r="Q31" s="21"/>
    </row>
    <row r="32" spans="1:17" ht="15.75">
      <c r="A32" s="21" t="s">
        <v>215</v>
      </c>
      <c r="B32" s="21"/>
      <c r="C32" s="21"/>
      <c r="D32" s="21"/>
      <c r="E32" s="21"/>
      <c r="F32" s="21"/>
      <c r="G32" s="21"/>
      <c r="H32" s="21"/>
      <c r="I32" s="18"/>
      <c r="J32" s="19"/>
      <c r="K32" s="34" t="s">
        <v>198</v>
      </c>
      <c r="L32" s="34" t="s">
        <v>199</v>
      </c>
      <c r="M32" s="34" t="s">
        <v>200</v>
      </c>
      <c r="N32" s="34" t="s">
        <v>201</v>
      </c>
      <c r="O32" s="34" t="s">
        <v>202</v>
      </c>
      <c r="P32" s="34" t="s">
        <v>216</v>
      </c>
      <c r="Q32" s="18"/>
    </row>
    <row r="33" spans="1:17" ht="15.75">
      <c r="A33" s="21" t="s">
        <v>217</v>
      </c>
      <c r="B33" s="21"/>
      <c r="C33" s="21"/>
      <c r="D33" s="21"/>
      <c r="E33" s="21"/>
      <c r="F33" s="21"/>
      <c r="G33" s="21"/>
      <c r="H33" s="21"/>
      <c r="I33" s="18"/>
      <c r="J33" s="123" t="s">
        <v>218</v>
      </c>
      <c r="K33" s="124">
        <f>K28/'Cash Flow - DCF VALUATION'!$L$70</f>
        <v>256.33416334536042</v>
      </c>
      <c r="L33" s="124">
        <f>L28/'Cash Flow - DCF VALUATION'!$L$70</f>
        <v>197.28710177241581</v>
      </c>
      <c r="M33" s="124">
        <f>M28/'Cash Flow - DCF VALUATION'!$L$70</f>
        <v>262.76596958631103</v>
      </c>
      <c r="N33" s="124">
        <f>N28/'Cash Flow - DCF VALUATION'!$L$70</f>
        <v>161.65528163255456</v>
      </c>
      <c r="O33" s="124">
        <f>O28/'Cash Flow - DCF VALUATION'!$L$70</f>
        <v>193.68974242454155</v>
      </c>
      <c r="P33" s="125">
        <f>AVERAGE(L33:O33)</f>
        <v>203.84952385395573</v>
      </c>
      <c r="Q33" s="18"/>
    </row>
    <row r="34" spans="1:17" ht="15.75">
      <c r="A34" s="144" t="s">
        <v>219</v>
      </c>
      <c r="B34" s="145"/>
      <c r="C34" s="145"/>
      <c r="D34" s="21"/>
      <c r="E34" s="21"/>
      <c r="F34" s="21"/>
      <c r="G34" s="21"/>
      <c r="H34" s="21"/>
      <c r="I34" s="18"/>
      <c r="J34" s="123" t="s">
        <v>220</v>
      </c>
      <c r="K34" s="124">
        <f>K29/'Cash Flow - DCF VALUATION'!$L$70</f>
        <v>283.79344805826372</v>
      </c>
      <c r="L34" s="124">
        <f>L29/'Cash Flow - DCF VALUATION'!$L$70</f>
        <v>243.03964536402086</v>
      </c>
      <c r="M34" s="124">
        <f>M29/'Cash Flow - DCF VALUATION'!$L$70</f>
        <v>233.6727684174042</v>
      </c>
      <c r="N34" s="124">
        <f>N29/'Cash Flow - DCF VALUATION'!$L$70</f>
        <v>208.57867040896693</v>
      </c>
      <c r="O34" s="124">
        <f>O29/'Cash Flow - DCF VALUATION'!$L$70</f>
        <v>216.74512442579302</v>
      </c>
      <c r="P34" s="125">
        <f>AVERAGE(L34:O34)</f>
        <v>225.50905215404626</v>
      </c>
      <c r="Q34" s="18"/>
    </row>
    <row r="35" spans="1:17" ht="15.75">
      <c r="A35" s="21"/>
      <c r="B35" s="21"/>
      <c r="C35" s="21"/>
      <c r="D35" s="21"/>
      <c r="E35" s="21"/>
      <c r="F35" s="21"/>
      <c r="G35" s="21"/>
      <c r="H35" s="21"/>
      <c r="I35" s="18"/>
      <c r="J35" s="123" t="s">
        <v>221</v>
      </c>
      <c r="K35" s="124">
        <f>K30/'Cash Flow - DCF VALUATION'!$L$70</f>
        <v>289.83246416508928</v>
      </c>
      <c r="L35" s="124">
        <f>L30/'Cash Flow - DCF VALUATION'!$L$70</f>
        <v>263.85358885868942</v>
      </c>
      <c r="M35" s="124">
        <f>M30/'Cash Flow - DCF VALUATION'!$L$70</f>
        <v>245.11983496545614</v>
      </c>
      <c r="N35" s="124">
        <f>N30/'Cash Flow - DCF VALUATION'!$L$70</f>
        <v>194.93163894858156</v>
      </c>
      <c r="O35" s="124">
        <f>O30/'Cash Flow - DCF VALUATION'!$L$70</f>
        <v>211.26454698223375</v>
      </c>
      <c r="P35" s="125">
        <f>AVERAGE(L35:O35)</f>
        <v>228.79240243874023</v>
      </c>
      <c r="Q35" s="18"/>
    </row>
    <row r="36" spans="1:17" ht="15.75">
      <c r="A36" s="21"/>
      <c r="B36" s="21"/>
      <c r="C36" s="21"/>
      <c r="D36" s="21"/>
      <c r="E36" s="21"/>
      <c r="F36" s="21"/>
      <c r="G36" s="21"/>
      <c r="H36" s="21"/>
      <c r="I36" s="18"/>
      <c r="J36" s="123" t="s">
        <v>222</v>
      </c>
      <c r="K36" s="124">
        <f>K31/'Cash Flow - DCF VALUATION'!$L$70</f>
        <v>277.75443195143822</v>
      </c>
      <c r="L36" s="124">
        <f>L31/'Cash Flow - DCF VALUATION'!$L$70</f>
        <v>222.22570186935229</v>
      </c>
      <c r="M36" s="124">
        <f>M31/'Cash Flow - DCF VALUATION'!$L$70</f>
        <v>222.22570186935226</v>
      </c>
      <c r="N36" s="124">
        <f>N31/'Cash Flow - DCF VALUATION'!$L$70</f>
        <v>222.22570186935226</v>
      </c>
      <c r="O36" s="124">
        <f>O31/'Cash Flow - DCF VALUATION'!$L$70</f>
        <v>222.22570186935226</v>
      </c>
      <c r="P36" s="125">
        <f>AVERAGE(P33:P35)</f>
        <v>219.3836594822474</v>
      </c>
      <c r="Q36" s="18"/>
    </row>
    <row r="37" spans="1:17">
      <c r="A37" s="21"/>
      <c r="B37" s="21"/>
      <c r="C37" s="21"/>
      <c r="D37" s="21"/>
      <c r="E37" s="21"/>
      <c r="F37" s="21"/>
      <c r="G37" s="21"/>
      <c r="H37" s="21"/>
      <c r="I37" s="18"/>
      <c r="J37" s="18"/>
      <c r="K37" s="18"/>
      <c r="L37" s="18"/>
      <c r="M37" s="18"/>
      <c r="N37" s="18"/>
      <c r="O37" s="18"/>
      <c r="P37" s="20"/>
      <c r="Q37" s="18"/>
    </row>
    <row r="38" spans="1:17">
      <c r="A38" s="21"/>
      <c r="B38" s="21"/>
      <c r="C38" s="21"/>
      <c r="D38" s="21"/>
      <c r="E38" s="21"/>
      <c r="F38" s="21"/>
      <c r="G38" s="21"/>
      <c r="H38" s="21"/>
      <c r="I38" s="18"/>
      <c r="J38" s="18"/>
      <c r="K38" s="18"/>
      <c r="L38" s="18"/>
      <c r="M38" s="18"/>
      <c r="N38" s="18"/>
      <c r="O38" s="18"/>
      <c r="P38" s="18"/>
      <c r="Q38" s="18"/>
    </row>
  </sheetData>
  <mergeCells count="1">
    <mergeCell ref="A34:C34"/>
  </mergeCells>
  <pageMargins left="0.2" right="0.2" top="0.5" bottom="0.5" header="0.5" footer="0.5"/>
  <pageSetup fitToWidth="0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X60"/>
  <sheetViews>
    <sheetView tabSelected="1" workbookViewId="0">
      <selection activeCell="C2" sqref="C2"/>
    </sheetView>
  </sheetViews>
  <sheetFormatPr defaultColWidth="8.85546875" defaultRowHeight="11.25"/>
  <cols>
    <col min="1" max="1" width="16.7109375" style="1" bestFit="1" customWidth="1"/>
    <col min="2" max="2" width="32.28515625" style="1" bestFit="1" customWidth="1"/>
    <col min="3" max="12" width="8.85546875" style="1"/>
    <col min="13" max="14" width="8.85546875" style="23" customWidth="1"/>
    <col min="15" max="44" width="8.85546875" style="1" customWidth="1"/>
    <col min="45" max="256" width="8.85546875" style="1"/>
    <col min="257" max="257" width="16.7109375" style="1" bestFit="1" customWidth="1"/>
    <col min="258" max="258" width="32.28515625" style="1" bestFit="1" customWidth="1"/>
    <col min="259" max="268" width="8.85546875" style="1"/>
    <col min="269" max="300" width="8.85546875" style="1" customWidth="1"/>
    <col min="301" max="512" width="8.85546875" style="1"/>
    <col min="513" max="513" width="16.7109375" style="1" bestFit="1" customWidth="1"/>
    <col min="514" max="514" width="32.28515625" style="1" bestFit="1" customWidth="1"/>
    <col min="515" max="524" width="8.85546875" style="1"/>
    <col min="525" max="556" width="8.85546875" style="1" customWidth="1"/>
    <col min="557" max="768" width="8.85546875" style="1"/>
    <col min="769" max="769" width="16.7109375" style="1" bestFit="1" customWidth="1"/>
    <col min="770" max="770" width="32.28515625" style="1" bestFit="1" customWidth="1"/>
    <col min="771" max="780" width="8.85546875" style="1"/>
    <col min="781" max="812" width="8.85546875" style="1" customWidth="1"/>
    <col min="813" max="1024" width="8.85546875" style="1"/>
    <col min="1025" max="1025" width="16.7109375" style="1" bestFit="1" customWidth="1"/>
    <col min="1026" max="1026" width="32.28515625" style="1" bestFit="1" customWidth="1"/>
    <col min="1027" max="1036" width="8.85546875" style="1"/>
    <col min="1037" max="1068" width="8.85546875" style="1" customWidth="1"/>
    <col min="1069" max="1280" width="8.85546875" style="1"/>
    <col min="1281" max="1281" width="16.7109375" style="1" bestFit="1" customWidth="1"/>
    <col min="1282" max="1282" width="32.28515625" style="1" bestFit="1" customWidth="1"/>
    <col min="1283" max="1292" width="8.85546875" style="1"/>
    <col min="1293" max="1324" width="8.85546875" style="1" customWidth="1"/>
    <col min="1325" max="1536" width="8.85546875" style="1"/>
    <col min="1537" max="1537" width="16.7109375" style="1" bestFit="1" customWidth="1"/>
    <col min="1538" max="1538" width="32.28515625" style="1" bestFit="1" customWidth="1"/>
    <col min="1539" max="1548" width="8.85546875" style="1"/>
    <col min="1549" max="1580" width="8.85546875" style="1" customWidth="1"/>
    <col min="1581" max="1792" width="8.85546875" style="1"/>
    <col min="1793" max="1793" width="16.7109375" style="1" bestFit="1" customWidth="1"/>
    <col min="1794" max="1794" width="32.28515625" style="1" bestFit="1" customWidth="1"/>
    <col min="1795" max="1804" width="8.85546875" style="1"/>
    <col min="1805" max="1836" width="8.85546875" style="1" customWidth="1"/>
    <col min="1837" max="2048" width="8.85546875" style="1"/>
    <col min="2049" max="2049" width="16.7109375" style="1" bestFit="1" customWidth="1"/>
    <col min="2050" max="2050" width="32.28515625" style="1" bestFit="1" customWidth="1"/>
    <col min="2051" max="2060" width="8.85546875" style="1"/>
    <col min="2061" max="2092" width="8.85546875" style="1" customWidth="1"/>
    <col min="2093" max="2304" width="8.85546875" style="1"/>
    <col min="2305" max="2305" width="16.7109375" style="1" bestFit="1" customWidth="1"/>
    <col min="2306" max="2306" width="32.28515625" style="1" bestFit="1" customWidth="1"/>
    <col min="2307" max="2316" width="8.85546875" style="1"/>
    <col min="2317" max="2348" width="8.85546875" style="1" customWidth="1"/>
    <col min="2349" max="2560" width="8.85546875" style="1"/>
    <col min="2561" max="2561" width="16.7109375" style="1" bestFit="1" customWidth="1"/>
    <col min="2562" max="2562" width="32.28515625" style="1" bestFit="1" customWidth="1"/>
    <col min="2563" max="2572" width="8.85546875" style="1"/>
    <col min="2573" max="2604" width="8.85546875" style="1" customWidth="1"/>
    <col min="2605" max="2816" width="8.85546875" style="1"/>
    <col min="2817" max="2817" width="16.7109375" style="1" bestFit="1" customWidth="1"/>
    <col min="2818" max="2818" width="32.28515625" style="1" bestFit="1" customWidth="1"/>
    <col min="2819" max="2828" width="8.85546875" style="1"/>
    <col min="2829" max="2860" width="8.85546875" style="1" customWidth="1"/>
    <col min="2861" max="3072" width="8.85546875" style="1"/>
    <col min="3073" max="3073" width="16.7109375" style="1" bestFit="1" customWidth="1"/>
    <col min="3074" max="3074" width="32.28515625" style="1" bestFit="1" customWidth="1"/>
    <col min="3075" max="3084" width="8.85546875" style="1"/>
    <col min="3085" max="3116" width="8.85546875" style="1" customWidth="1"/>
    <col min="3117" max="3328" width="8.85546875" style="1"/>
    <col min="3329" max="3329" width="16.7109375" style="1" bestFit="1" customWidth="1"/>
    <col min="3330" max="3330" width="32.28515625" style="1" bestFit="1" customWidth="1"/>
    <col min="3331" max="3340" width="8.85546875" style="1"/>
    <col min="3341" max="3372" width="8.85546875" style="1" customWidth="1"/>
    <col min="3373" max="3584" width="8.85546875" style="1"/>
    <col min="3585" max="3585" width="16.7109375" style="1" bestFit="1" customWidth="1"/>
    <col min="3586" max="3586" width="32.28515625" style="1" bestFit="1" customWidth="1"/>
    <col min="3587" max="3596" width="8.85546875" style="1"/>
    <col min="3597" max="3628" width="8.85546875" style="1" customWidth="1"/>
    <col min="3629" max="3840" width="8.85546875" style="1"/>
    <col min="3841" max="3841" width="16.7109375" style="1" bestFit="1" customWidth="1"/>
    <col min="3842" max="3842" width="32.28515625" style="1" bestFit="1" customWidth="1"/>
    <col min="3843" max="3852" width="8.85546875" style="1"/>
    <col min="3853" max="3884" width="8.85546875" style="1" customWidth="1"/>
    <col min="3885" max="4096" width="8.85546875" style="1"/>
    <col min="4097" max="4097" width="16.7109375" style="1" bestFit="1" customWidth="1"/>
    <col min="4098" max="4098" width="32.28515625" style="1" bestFit="1" customWidth="1"/>
    <col min="4099" max="4108" width="8.85546875" style="1"/>
    <col min="4109" max="4140" width="8.85546875" style="1" customWidth="1"/>
    <col min="4141" max="4352" width="8.85546875" style="1"/>
    <col min="4353" max="4353" width="16.7109375" style="1" bestFit="1" customWidth="1"/>
    <col min="4354" max="4354" width="32.28515625" style="1" bestFit="1" customWidth="1"/>
    <col min="4355" max="4364" width="8.85546875" style="1"/>
    <col min="4365" max="4396" width="8.85546875" style="1" customWidth="1"/>
    <col min="4397" max="4608" width="8.85546875" style="1"/>
    <col min="4609" max="4609" width="16.7109375" style="1" bestFit="1" customWidth="1"/>
    <col min="4610" max="4610" width="32.28515625" style="1" bestFit="1" customWidth="1"/>
    <col min="4611" max="4620" width="8.85546875" style="1"/>
    <col min="4621" max="4652" width="8.85546875" style="1" customWidth="1"/>
    <col min="4653" max="4864" width="8.85546875" style="1"/>
    <col min="4865" max="4865" width="16.7109375" style="1" bestFit="1" customWidth="1"/>
    <col min="4866" max="4866" width="32.28515625" style="1" bestFit="1" customWidth="1"/>
    <col min="4867" max="4876" width="8.85546875" style="1"/>
    <col min="4877" max="4908" width="8.85546875" style="1" customWidth="1"/>
    <col min="4909" max="5120" width="8.85546875" style="1"/>
    <col min="5121" max="5121" width="16.7109375" style="1" bestFit="1" customWidth="1"/>
    <col min="5122" max="5122" width="32.28515625" style="1" bestFit="1" customWidth="1"/>
    <col min="5123" max="5132" width="8.85546875" style="1"/>
    <col min="5133" max="5164" width="8.85546875" style="1" customWidth="1"/>
    <col min="5165" max="5376" width="8.85546875" style="1"/>
    <col min="5377" max="5377" width="16.7109375" style="1" bestFit="1" customWidth="1"/>
    <col min="5378" max="5378" width="32.28515625" style="1" bestFit="1" customWidth="1"/>
    <col min="5379" max="5388" width="8.85546875" style="1"/>
    <col min="5389" max="5420" width="8.85546875" style="1" customWidth="1"/>
    <col min="5421" max="5632" width="8.85546875" style="1"/>
    <col min="5633" max="5633" width="16.7109375" style="1" bestFit="1" customWidth="1"/>
    <col min="5634" max="5634" width="32.28515625" style="1" bestFit="1" customWidth="1"/>
    <col min="5635" max="5644" width="8.85546875" style="1"/>
    <col min="5645" max="5676" width="8.85546875" style="1" customWidth="1"/>
    <col min="5677" max="5888" width="8.85546875" style="1"/>
    <col min="5889" max="5889" width="16.7109375" style="1" bestFit="1" customWidth="1"/>
    <col min="5890" max="5890" width="32.28515625" style="1" bestFit="1" customWidth="1"/>
    <col min="5891" max="5900" width="8.85546875" style="1"/>
    <col min="5901" max="5932" width="8.85546875" style="1" customWidth="1"/>
    <col min="5933" max="6144" width="8.85546875" style="1"/>
    <col min="6145" max="6145" width="16.7109375" style="1" bestFit="1" customWidth="1"/>
    <col min="6146" max="6146" width="32.28515625" style="1" bestFit="1" customWidth="1"/>
    <col min="6147" max="6156" width="8.85546875" style="1"/>
    <col min="6157" max="6188" width="8.85546875" style="1" customWidth="1"/>
    <col min="6189" max="6400" width="8.85546875" style="1"/>
    <col min="6401" max="6401" width="16.7109375" style="1" bestFit="1" customWidth="1"/>
    <col min="6402" max="6402" width="32.28515625" style="1" bestFit="1" customWidth="1"/>
    <col min="6403" max="6412" width="8.85546875" style="1"/>
    <col min="6413" max="6444" width="8.85546875" style="1" customWidth="1"/>
    <col min="6445" max="6656" width="8.85546875" style="1"/>
    <col min="6657" max="6657" width="16.7109375" style="1" bestFit="1" customWidth="1"/>
    <col min="6658" max="6658" width="32.28515625" style="1" bestFit="1" customWidth="1"/>
    <col min="6659" max="6668" width="8.85546875" style="1"/>
    <col min="6669" max="6700" width="8.85546875" style="1" customWidth="1"/>
    <col min="6701" max="6912" width="8.85546875" style="1"/>
    <col min="6913" max="6913" width="16.7109375" style="1" bestFit="1" customWidth="1"/>
    <col min="6914" max="6914" width="32.28515625" style="1" bestFit="1" customWidth="1"/>
    <col min="6915" max="6924" width="8.85546875" style="1"/>
    <col min="6925" max="6956" width="8.85546875" style="1" customWidth="1"/>
    <col min="6957" max="7168" width="8.85546875" style="1"/>
    <col min="7169" max="7169" width="16.7109375" style="1" bestFit="1" customWidth="1"/>
    <col min="7170" max="7170" width="32.28515625" style="1" bestFit="1" customWidth="1"/>
    <col min="7171" max="7180" width="8.85546875" style="1"/>
    <col min="7181" max="7212" width="8.85546875" style="1" customWidth="1"/>
    <col min="7213" max="7424" width="8.85546875" style="1"/>
    <col min="7425" max="7425" width="16.7109375" style="1" bestFit="1" customWidth="1"/>
    <col min="7426" max="7426" width="32.28515625" style="1" bestFit="1" customWidth="1"/>
    <col min="7427" max="7436" width="8.85546875" style="1"/>
    <col min="7437" max="7468" width="8.85546875" style="1" customWidth="1"/>
    <col min="7469" max="7680" width="8.85546875" style="1"/>
    <col min="7681" max="7681" width="16.7109375" style="1" bestFit="1" customWidth="1"/>
    <col min="7682" max="7682" width="32.28515625" style="1" bestFit="1" customWidth="1"/>
    <col min="7683" max="7692" width="8.85546875" style="1"/>
    <col min="7693" max="7724" width="8.85546875" style="1" customWidth="1"/>
    <col min="7725" max="7936" width="8.85546875" style="1"/>
    <col min="7937" max="7937" width="16.7109375" style="1" bestFit="1" customWidth="1"/>
    <col min="7938" max="7938" width="32.28515625" style="1" bestFit="1" customWidth="1"/>
    <col min="7939" max="7948" width="8.85546875" style="1"/>
    <col min="7949" max="7980" width="8.85546875" style="1" customWidth="1"/>
    <col min="7981" max="8192" width="8.85546875" style="1"/>
    <col min="8193" max="8193" width="16.7109375" style="1" bestFit="1" customWidth="1"/>
    <col min="8194" max="8194" width="32.28515625" style="1" bestFit="1" customWidth="1"/>
    <col min="8195" max="8204" width="8.85546875" style="1"/>
    <col min="8205" max="8236" width="8.85546875" style="1" customWidth="1"/>
    <col min="8237" max="8448" width="8.85546875" style="1"/>
    <col min="8449" max="8449" width="16.7109375" style="1" bestFit="1" customWidth="1"/>
    <col min="8450" max="8450" width="32.28515625" style="1" bestFit="1" customWidth="1"/>
    <col min="8451" max="8460" width="8.85546875" style="1"/>
    <col min="8461" max="8492" width="8.85546875" style="1" customWidth="1"/>
    <col min="8493" max="8704" width="8.85546875" style="1"/>
    <col min="8705" max="8705" width="16.7109375" style="1" bestFit="1" customWidth="1"/>
    <col min="8706" max="8706" width="32.28515625" style="1" bestFit="1" customWidth="1"/>
    <col min="8707" max="8716" width="8.85546875" style="1"/>
    <col min="8717" max="8748" width="8.85546875" style="1" customWidth="1"/>
    <col min="8749" max="8960" width="8.85546875" style="1"/>
    <col min="8961" max="8961" width="16.7109375" style="1" bestFit="1" customWidth="1"/>
    <col min="8962" max="8962" width="32.28515625" style="1" bestFit="1" customWidth="1"/>
    <col min="8963" max="8972" width="8.85546875" style="1"/>
    <col min="8973" max="9004" width="8.85546875" style="1" customWidth="1"/>
    <col min="9005" max="9216" width="8.85546875" style="1"/>
    <col min="9217" max="9217" width="16.7109375" style="1" bestFit="1" customWidth="1"/>
    <col min="9218" max="9218" width="32.28515625" style="1" bestFit="1" customWidth="1"/>
    <col min="9219" max="9228" width="8.85546875" style="1"/>
    <col min="9229" max="9260" width="8.85546875" style="1" customWidth="1"/>
    <col min="9261" max="9472" width="8.85546875" style="1"/>
    <col min="9473" max="9473" width="16.7109375" style="1" bestFit="1" customWidth="1"/>
    <col min="9474" max="9474" width="32.28515625" style="1" bestFit="1" customWidth="1"/>
    <col min="9475" max="9484" width="8.85546875" style="1"/>
    <col min="9485" max="9516" width="8.85546875" style="1" customWidth="1"/>
    <col min="9517" max="9728" width="8.85546875" style="1"/>
    <col min="9729" max="9729" width="16.7109375" style="1" bestFit="1" customWidth="1"/>
    <col min="9730" max="9730" width="32.28515625" style="1" bestFit="1" customWidth="1"/>
    <col min="9731" max="9740" width="8.85546875" style="1"/>
    <col min="9741" max="9772" width="8.85546875" style="1" customWidth="1"/>
    <col min="9773" max="9984" width="8.85546875" style="1"/>
    <col min="9985" max="9985" width="16.7109375" style="1" bestFit="1" customWidth="1"/>
    <col min="9986" max="9986" width="32.28515625" style="1" bestFit="1" customWidth="1"/>
    <col min="9987" max="9996" width="8.85546875" style="1"/>
    <col min="9997" max="10028" width="8.85546875" style="1" customWidth="1"/>
    <col min="10029" max="10240" width="8.85546875" style="1"/>
    <col min="10241" max="10241" width="16.7109375" style="1" bestFit="1" customWidth="1"/>
    <col min="10242" max="10242" width="32.28515625" style="1" bestFit="1" customWidth="1"/>
    <col min="10243" max="10252" width="8.85546875" style="1"/>
    <col min="10253" max="10284" width="8.85546875" style="1" customWidth="1"/>
    <col min="10285" max="10496" width="8.85546875" style="1"/>
    <col min="10497" max="10497" width="16.7109375" style="1" bestFit="1" customWidth="1"/>
    <col min="10498" max="10498" width="32.28515625" style="1" bestFit="1" customWidth="1"/>
    <col min="10499" max="10508" width="8.85546875" style="1"/>
    <col min="10509" max="10540" width="8.85546875" style="1" customWidth="1"/>
    <col min="10541" max="10752" width="8.85546875" style="1"/>
    <col min="10753" max="10753" width="16.7109375" style="1" bestFit="1" customWidth="1"/>
    <col min="10754" max="10754" width="32.28515625" style="1" bestFit="1" customWidth="1"/>
    <col min="10755" max="10764" width="8.85546875" style="1"/>
    <col min="10765" max="10796" width="8.85546875" style="1" customWidth="1"/>
    <col min="10797" max="11008" width="8.85546875" style="1"/>
    <col min="11009" max="11009" width="16.7109375" style="1" bestFit="1" customWidth="1"/>
    <col min="11010" max="11010" width="32.28515625" style="1" bestFit="1" customWidth="1"/>
    <col min="11011" max="11020" width="8.85546875" style="1"/>
    <col min="11021" max="11052" width="8.85546875" style="1" customWidth="1"/>
    <col min="11053" max="11264" width="8.85546875" style="1"/>
    <col min="11265" max="11265" width="16.7109375" style="1" bestFit="1" customWidth="1"/>
    <col min="11266" max="11266" width="32.28515625" style="1" bestFit="1" customWidth="1"/>
    <col min="11267" max="11276" width="8.85546875" style="1"/>
    <col min="11277" max="11308" width="8.85546875" style="1" customWidth="1"/>
    <col min="11309" max="11520" width="8.85546875" style="1"/>
    <col min="11521" max="11521" width="16.7109375" style="1" bestFit="1" customWidth="1"/>
    <col min="11522" max="11522" width="32.28515625" style="1" bestFit="1" customWidth="1"/>
    <col min="11523" max="11532" width="8.85546875" style="1"/>
    <col min="11533" max="11564" width="8.85546875" style="1" customWidth="1"/>
    <col min="11565" max="11776" width="8.85546875" style="1"/>
    <col min="11777" max="11777" width="16.7109375" style="1" bestFit="1" customWidth="1"/>
    <col min="11778" max="11778" width="32.28515625" style="1" bestFit="1" customWidth="1"/>
    <col min="11779" max="11788" width="8.85546875" style="1"/>
    <col min="11789" max="11820" width="8.85546875" style="1" customWidth="1"/>
    <col min="11821" max="12032" width="8.85546875" style="1"/>
    <col min="12033" max="12033" width="16.7109375" style="1" bestFit="1" customWidth="1"/>
    <col min="12034" max="12034" width="32.28515625" style="1" bestFit="1" customWidth="1"/>
    <col min="12035" max="12044" width="8.85546875" style="1"/>
    <col min="12045" max="12076" width="8.85546875" style="1" customWidth="1"/>
    <col min="12077" max="12288" width="8.85546875" style="1"/>
    <col min="12289" max="12289" width="16.7109375" style="1" bestFit="1" customWidth="1"/>
    <col min="12290" max="12290" width="32.28515625" style="1" bestFit="1" customWidth="1"/>
    <col min="12291" max="12300" width="8.85546875" style="1"/>
    <col min="12301" max="12332" width="8.85546875" style="1" customWidth="1"/>
    <col min="12333" max="12544" width="8.85546875" style="1"/>
    <col min="12545" max="12545" width="16.7109375" style="1" bestFit="1" customWidth="1"/>
    <col min="12546" max="12546" width="32.28515625" style="1" bestFit="1" customWidth="1"/>
    <col min="12547" max="12556" width="8.85546875" style="1"/>
    <col min="12557" max="12588" width="8.85546875" style="1" customWidth="1"/>
    <col min="12589" max="12800" width="8.85546875" style="1"/>
    <col min="12801" max="12801" width="16.7109375" style="1" bestFit="1" customWidth="1"/>
    <col min="12802" max="12802" width="32.28515625" style="1" bestFit="1" customWidth="1"/>
    <col min="12803" max="12812" width="8.85546875" style="1"/>
    <col min="12813" max="12844" width="8.85546875" style="1" customWidth="1"/>
    <col min="12845" max="13056" width="8.85546875" style="1"/>
    <col min="13057" max="13057" width="16.7109375" style="1" bestFit="1" customWidth="1"/>
    <col min="13058" max="13058" width="32.28515625" style="1" bestFit="1" customWidth="1"/>
    <col min="13059" max="13068" width="8.85546875" style="1"/>
    <col min="13069" max="13100" width="8.85546875" style="1" customWidth="1"/>
    <col min="13101" max="13312" width="8.85546875" style="1"/>
    <col min="13313" max="13313" width="16.7109375" style="1" bestFit="1" customWidth="1"/>
    <col min="13314" max="13314" width="32.28515625" style="1" bestFit="1" customWidth="1"/>
    <col min="13315" max="13324" width="8.85546875" style="1"/>
    <col min="13325" max="13356" width="8.85546875" style="1" customWidth="1"/>
    <col min="13357" max="13568" width="8.85546875" style="1"/>
    <col min="13569" max="13569" width="16.7109375" style="1" bestFit="1" customWidth="1"/>
    <col min="13570" max="13570" width="32.28515625" style="1" bestFit="1" customWidth="1"/>
    <col min="13571" max="13580" width="8.85546875" style="1"/>
    <col min="13581" max="13612" width="8.85546875" style="1" customWidth="1"/>
    <col min="13613" max="13824" width="8.85546875" style="1"/>
    <col min="13825" max="13825" width="16.7109375" style="1" bestFit="1" customWidth="1"/>
    <col min="13826" max="13826" width="32.28515625" style="1" bestFit="1" customWidth="1"/>
    <col min="13827" max="13836" width="8.85546875" style="1"/>
    <col min="13837" max="13868" width="8.85546875" style="1" customWidth="1"/>
    <col min="13869" max="14080" width="8.85546875" style="1"/>
    <col min="14081" max="14081" width="16.7109375" style="1" bestFit="1" customWidth="1"/>
    <col min="14082" max="14082" width="32.28515625" style="1" bestFit="1" customWidth="1"/>
    <col min="14083" max="14092" width="8.85546875" style="1"/>
    <col min="14093" max="14124" width="8.85546875" style="1" customWidth="1"/>
    <col min="14125" max="14336" width="8.85546875" style="1"/>
    <col min="14337" max="14337" width="16.7109375" style="1" bestFit="1" customWidth="1"/>
    <col min="14338" max="14338" width="32.28515625" style="1" bestFit="1" customWidth="1"/>
    <col min="14339" max="14348" width="8.85546875" style="1"/>
    <col min="14349" max="14380" width="8.85546875" style="1" customWidth="1"/>
    <col min="14381" max="14592" width="8.85546875" style="1"/>
    <col min="14593" max="14593" width="16.7109375" style="1" bestFit="1" customWidth="1"/>
    <col min="14594" max="14594" width="32.28515625" style="1" bestFit="1" customWidth="1"/>
    <col min="14595" max="14604" width="8.85546875" style="1"/>
    <col min="14605" max="14636" width="8.85546875" style="1" customWidth="1"/>
    <col min="14637" max="14848" width="8.85546875" style="1"/>
    <col min="14849" max="14849" width="16.7109375" style="1" bestFit="1" customWidth="1"/>
    <col min="14850" max="14850" width="32.28515625" style="1" bestFit="1" customWidth="1"/>
    <col min="14851" max="14860" width="8.85546875" style="1"/>
    <col min="14861" max="14892" width="8.85546875" style="1" customWidth="1"/>
    <col min="14893" max="15104" width="8.85546875" style="1"/>
    <col min="15105" max="15105" width="16.7109375" style="1" bestFit="1" customWidth="1"/>
    <col min="15106" max="15106" width="32.28515625" style="1" bestFit="1" customWidth="1"/>
    <col min="15107" max="15116" width="8.85546875" style="1"/>
    <col min="15117" max="15148" width="8.85546875" style="1" customWidth="1"/>
    <col min="15149" max="15360" width="8.85546875" style="1"/>
    <col min="15361" max="15361" width="16.7109375" style="1" bestFit="1" customWidth="1"/>
    <col min="15362" max="15362" width="32.28515625" style="1" bestFit="1" customWidth="1"/>
    <col min="15363" max="15372" width="8.85546875" style="1"/>
    <col min="15373" max="15404" width="8.85546875" style="1" customWidth="1"/>
    <col min="15405" max="15616" width="8.85546875" style="1"/>
    <col min="15617" max="15617" width="16.7109375" style="1" bestFit="1" customWidth="1"/>
    <col min="15618" max="15618" width="32.28515625" style="1" bestFit="1" customWidth="1"/>
    <col min="15619" max="15628" width="8.85546875" style="1"/>
    <col min="15629" max="15660" width="8.85546875" style="1" customWidth="1"/>
    <col min="15661" max="15872" width="8.85546875" style="1"/>
    <col min="15873" max="15873" width="16.7109375" style="1" bestFit="1" customWidth="1"/>
    <col min="15874" max="15874" width="32.28515625" style="1" bestFit="1" customWidth="1"/>
    <col min="15875" max="15884" width="8.85546875" style="1"/>
    <col min="15885" max="15916" width="8.85546875" style="1" customWidth="1"/>
    <col min="15917" max="16128" width="8.85546875" style="1"/>
    <col min="16129" max="16129" width="16.7109375" style="1" bestFit="1" customWidth="1"/>
    <col min="16130" max="16130" width="32.28515625" style="1" bestFit="1" customWidth="1"/>
    <col min="16131" max="16140" width="8.85546875" style="1"/>
    <col min="16141" max="16172" width="8.85546875" style="1" customWidth="1"/>
    <col min="16173" max="16384" width="8.85546875" style="1"/>
  </cols>
  <sheetData>
    <row r="1" spans="1:14">
      <c r="A1" s="28" t="s">
        <v>223</v>
      </c>
      <c r="C1" s="54">
        <v>2007</v>
      </c>
      <c r="D1" s="54">
        <v>2008</v>
      </c>
      <c r="E1" s="54">
        <v>2009</v>
      </c>
      <c r="F1" s="54">
        <v>2010</v>
      </c>
      <c r="G1" s="54">
        <v>2011</v>
      </c>
      <c r="H1" s="54">
        <v>2012</v>
      </c>
      <c r="I1" s="54">
        <v>2013</v>
      </c>
      <c r="J1" s="54">
        <v>2014</v>
      </c>
      <c r="K1" s="54">
        <v>2015</v>
      </c>
      <c r="L1" s="54">
        <v>2016</v>
      </c>
    </row>
    <row r="2" spans="1:14" ht="21.75">
      <c r="B2" s="54" t="s">
        <v>207</v>
      </c>
      <c r="C2" s="24">
        <v>6.2065000000000002E-2</v>
      </c>
      <c r="D2" s="24">
        <v>5.8553000000000001E-2</v>
      </c>
      <c r="E2" s="24">
        <v>4.5533999999999998E-2</v>
      </c>
      <c r="F2" s="24">
        <v>3.4370999999999999E-2</v>
      </c>
      <c r="G2" s="24">
        <v>5.0124000000000002E-2</v>
      </c>
      <c r="H2" s="24">
        <v>4.3501999999999999E-2</v>
      </c>
      <c r="I2" s="24">
        <v>5.6654000000000003E-2</v>
      </c>
      <c r="J2" s="24">
        <v>7.3109999999999994E-2</v>
      </c>
      <c r="K2" s="24">
        <v>8.6937E-2</v>
      </c>
      <c r="L2" s="24">
        <v>8.9430999999999997E-2</v>
      </c>
    </row>
    <row r="3" spans="1:14" ht="21.75">
      <c r="B3" s="54" t="s">
        <v>203</v>
      </c>
      <c r="C3" s="2">
        <v>8.1993999999999997E-2</v>
      </c>
      <c r="D3" s="2">
        <v>7.5741000000000003E-2</v>
      </c>
      <c r="E3" s="2">
        <v>7.2090000000000001E-2</v>
      </c>
      <c r="F3" s="2">
        <v>5.9131999999999997E-2</v>
      </c>
      <c r="G3" s="2">
        <v>7.5025999999999995E-2</v>
      </c>
      <c r="H3" s="2">
        <v>8.0418000000000003E-2</v>
      </c>
      <c r="I3" s="2">
        <v>8.7429999999999994E-2</v>
      </c>
      <c r="J3" s="2">
        <v>8.5199999999999998E-2</v>
      </c>
      <c r="K3" s="2">
        <v>9.3451000000000006E-2</v>
      </c>
      <c r="L3" s="2">
        <v>9.6673999999999996E-2</v>
      </c>
    </row>
    <row r="4" spans="1:14" ht="21.75">
      <c r="B4" s="54" t="s">
        <v>204</v>
      </c>
      <c r="C4" s="2">
        <v>6.2177999999999997E-2</v>
      </c>
      <c r="D4" s="2">
        <v>6.1934000000000003E-2</v>
      </c>
      <c r="E4" s="2">
        <v>7.3511000000000007E-2</v>
      </c>
      <c r="F4" s="2">
        <v>4.5698999999999997E-2</v>
      </c>
      <c r="G4" s="2">
        <v>6.0196E-2</v>
      </c>
      <c r="H4" s="2">
        <v>7.0787000000000003E-2</v>
      </c>
      <c r="I4" s="2">
        <v>6.6321000000000005E-2</v>
      </c>
      <c r="J4" s="2">
        <v>6.4802999999999999E-2</v>
      </c>
      <c r="K4" s="2">
        <v>6.8034999999999998E-2</v>
      </c>
      <c r="L4" s="2">
        <v>5.4704000000000003E-2</v>
      </c>
      <c r="N4" s="25"/>
    </row>
    <row r="5" spans="1:14">
      <c r="B5" s="54" t="s">
        <v>205</v>
      </c>
      <c r="C5" s="2">
        <v>5.0166000000000002E-2</v>
      </c>
      <c r="D5" s="2">
        <v>5.5759999999999997E-2</v>
      </c>
      <c r="E5" s="2">
        <v>6.6355999999999998E-2</v>
      </c>
      <c r="F5" s="2">
        <v>5.3360999999999999E-2</v>
      </c>
      <c r="G5" s="2">
        <v>6.9759000000000002E-2</v>
      </c>
      <c r="H5" s="2">
        <v>7.5453999999999993E-2</v>
      </c>
      <c r="I5" s="2">
        <v>7.2085999999999997E-2</v>
      </c>
      <c r="J5" s="2">
        <v>6.9454000000000002E-2</v>
      </c>
      <c r="K5" s="2">
        <v>7.0408999999999999E-2</v>
      </c>
      <c r="L5" s="2">
        <v>6.7017999999999994E-2</v>
      </c>
    </row>
    <row r="6" spans="1:14">
      <c r="B6" s="54" t="s">
        <v>206</v>
      </c>
      <c r="C6" s="2">
        <v>4.9577000000000003E-2</v>
      </c>
      <c r="D6" s="2">
        <v>5.6591000000000002E-2</v>
      </c>
      <c r="E6" s="2">
        <v>6.5429000000000001E-2</v>
      </c>
      <c r="F6" s="2">
        <v>5.1568000000000003E-2</v>
      </c>
      <c r="G6" s="2">
        <v>7.3676000000000005E-2</v>
      </c>
      <c r="H6" s="2">
        <v>8.1137000000000001E-2</v>
      </c>
      <c r="I6" s="2">
        <v>9.1396000000000005E-2</v>
      </c>
      <c r="J6" s="2">
        <v>9.6068000000000001E-2</v>
      </c>
      <c r="K6" s="2">
        <v>0.107158</v>
      </c>
      <c r="L6" s="2">
        <v>9.4089999999999993E-2</v>
      </c>
    </row>
    <row r="11" spans="1:14">
      <c r="A11" s="28" t="s">
        <v>224</v>
      </c>
      <c r="C11" s="54">
        <v>2007</v>
      </c>
      <c r="D11" s="54">
        <v>2008</v>
      </c>
      <c r="E11" s="54">
        <v>2009</v>
      </c>
      <c r="F11" s="54">
        <v>2010</v>
      </c>
      <c r="G11" s="54">
        <v>2011</v>
      </c>
      <c r="H11" s="54">
        <v>2012</v>
      </c>
      <c r="I11" s="54">
        <v>2013</v>
      </c>
      <c r="J11" s="54">
        <v>2014</v>
      </c>
      <c r="K11" s="54">
        <v>2015</v>
      </c>
      <c r="L11" s="54">
        <v>2016</v>
      </c>
    </row>
    <row r="12" spans="1:14" ht="21.75">
      <c r="B12" s="54" t="s">
        <v>207</v>
      </c>
      <c r="C12" s="24">
        <v>0.172348</v>
      </c>
      <c r="D12" s="24">
        <v>0.18073700000000001</v>
      </c>
      <c r="E12" s="24">
        <v>0.111834</v>
      </c>
      <c r="F12" s="24">
        <v>0.10549</v>
      </c>
      <c r="G12" s="24">
        <v>0.13731099999999999</v>
      </c>
      <c r="H12" s="24">
        <v>0.120342</v>
      </c>
      <c r="I12" s="24">
        <v>9.9321999999999994E-2</v>
      </c>
      <c r="J12" s="24">
        <v>0.143513</v>
      </c>
      <c r="K12" s="24">
        <v>0.23231199999999999</v>
      </c>
      <c r="L12" s="24">
        <v>0.25985000000000003</v>
      </c>
    </row>
    <row r="13" spans="1:14" ht="21.75">
      <c r="B13" s="54" t="s">
        <v>203</v>
      </c>
      <c r="C13" s="2">
        <v>0.21884300000000001</v>
      </c>
      <c r="D13" s="2">
        <v>0.21578900000000001</v>
      </c>
      <c r="E13" s="2">
        <v>0.18277299999999999</v>
      </c>
      <c r="F13" s="2">
        <v>0.170154</v>
      </c>
      <c r="G13" s="2">
        <v>0.18688099999999999</v>
      </c>
      <c r="H13" s="2">
        <v>0.22372900000000001</v>
      </c>
      <c r="I13" s="2">
        <v>0.247027</v>
      </c>
      <c r="J13" s="2">
        <v>0.21792900000000001</v>
      </c>
      <c r="K13" s="2">
        <v>0.23971500000000001</v>
      </c>
      <c r="L13" s="2">
        <v>0.24897900000000001</v>
      </c>
    </row>
    <row r="14" spans="1:14" ht="21.75">
      <c r="B14" s="54" t="s">
        <v>204</v>
      </c>
      <c r="C14" s="2">
        <v>0.15679399999999999</v>
      </c>
      <c r="D14" s="2">
        <v>0.15137999999999999</v>
      </c>
      <c r="E14" s="2">
        <v>0.177511</v>
      </c>
      <c r="F14" s="2">
        <v>0.103607</v>
      </c>
      <c r="G14" s="2">
        <v>0.14232700000000001</v>
      </c>
      <c r="H14" s="2">
        <v>0.1862</v>
      </c>
      <c r="I14" s="2">
        <v>0.17782500000000001</v>
      </c>
      <c r="J14" s="2">
        <v>0.181481</v>
      </c>
      <c r="K14" s="2">
        <v>0.168797</v>
      </c>
      <c r="L14" s="2">
        <v>0.126524</v>
      </c>
    </row>
    <row r="15" spans="1:14">
      <c r="B15" s="54" t="s">
        <v>205</v>
      </c>
      <c r="C15" s="2">
        <v>0.154253</v>
      </c>
      <c r="D15" s="2">
        <v>0.13936899999999999</v>
      </c>
      <c r="E15" s="2">
        <v>0.17705899999999999</v>
      </c>
      <c r="F15" s="2">
        <v>0.13399800000000001</v>
      </c>
      <c r="G15" s="2">
        <v>0.178955</v>
      </c>
      <c r="H15" s="2">
        <v>0.21598300000000001</v>
      </c>
      <c r="I15" s="2">
        <v>0.21165600000000001</v>
      </c>
      <c r="J15" s="2">
        <v>0.18981600000000001</v>
      </c>
      <c r="K15" s="2">
        <v>0.17776700000000001</v>
      </c>
      <c r="L15" s="2">
        <v>0.17229900000000001</v>
      </c>
    </row>
    <row r="16" spans="1:14">
      <c r="B16" s="54" t="s">
        <v>206</v>
      </c>
      <c r="C16" s="2">
        <v>0.11068600000000001</v>
      </c>
      <c r="D16" s="2">
        <v>0.120076</v>
      </c>
      <c r="E16" s="2">
        <v>0.15048900000000001</v>
      </c>
      <c r="F16" s="2">
        <v>0.117216</v>
      </c>
      <c r="G16" s="2">
        <v>0.160861</v>
      </c>
      <c r="H16" s="2">
        <v>0.181172</v>
      </c>
      <c r="I16" s="2">
        <v>0.20507</v>
      </c>
      <c r="J16" s="2">
        <v>0.21351700000000001</v>
      </c>
      <c r="K16" s="2">
        <v>0.244258</v>
      </c>
      <c r="L16" s="2">
        <v>0.227829</v>
      </c>
    </row>
    <row r="25" spans="1:12">
      <c r="A25" s="28" t="s">
        <v>225</v>
      </c>
      <c r="C25" s="54">
        <v>2007</v>
      </c>
      <c r="D25" s="54">
        <v>2008</v>
      </c>
      <c r="E25" s="54">
        <v>2009</v>
      </c>
      <c r="F25" s="54">
        <v>2010</v>
      </c>
      <c r="G25" s="54">
        <v>2011</v>
      </c>
      <c r="H25" s="54">
        <v>2012</v>
      </c>
      <c r="I25" s="54">
        <v>2013</v>
      </c>
      <c r="J25" s="54">
        <v>2014</v>
      </c>
      <c r="K25" s="54">
        <v>2015</v>
      </c>
      <c r="L25" s="54">
        <v>2016</v>
      </c>
    </row>
    <row r="26" spans="1:12" ht="21.75">
      <c r="B26" s="54" t="s">
        <v>207</v>
      </c>
      <c r="C26" s="24">
        <v>0.34450399999999998</v>
      </c>
      <c r="D26" s="24">
        <v>0.33739000000000002</v>
      </c>
      <c r="E26" s="24">
        <v>0.29061999999999999</v>
      </c>
      <c r="F26" s="24">
        <v>0.292821</v>
      </c>
      <c r="G26" s="24">
        <v>0.32222400000000001</v>
      </c>
      <c r="H26" s="24">
        <v>0.28143699999999999</v>
      </c>
      <c r="I26" s="24">
        <v>0.32414300000000001</v>
      </c>
      <c r="J26" s="24">
        <v>0.40975</v>
      </c>
      <c r="K26" s="24">
        <v>0.45030199999999998</v>
      </c>
      <c r="L26" s="24">
        <v>0.48971900000000002</v>
      </c>
    </row>
    <row r="27" spans="1:12" ht="21.75">
      <c r="B27" s="54" t="s">
        <v>203</v>
      </c>
      <c r="C27" s="2">
        <v>0.50308900000000001</v>
      </c>
      <c r="D27" s="2">
        <v>0.49107200000000001</v>
      </c>
      <c r="E27" s="2">
        <v>0.46604499999999999</v>
      </c>
      <c r="F27" s="2">
        <v>0.48052099999999998</v>
      </c>
      <c r="G27" s="2">
        <v>0.50934000000000001</v>
      </c>
      <c r="H27" s="2">
        <v>0.49357499999999999</v>
      </c>
      <c r="I27" s="2">
        <v>0.49868899999999999</v>
      </c>
      <c r="J27" s="2">
        <v>0.48680800000000002</v>
      </c>
      <c r="K27" s="2">
        <v>0.49793900000000002</v>
      </c>
      <c r="L27" s="2">
        <v>0.54063899999999998</v>
      </c>
    </row>
    <row r="28" spans="1:12" ht="21.75">
      <c r="B28" s="54" t="s">
        <v>204</v>
      </c>
      <c r="C28" s="2">
        <v>0.35282200000000002</v>
      </c>
      <c r="D28" s="2">
        <v>0.356234</v>
      </c>
      <c r="E28" s="2">
        <v>0.36469299999999999</v>
      </c>
      <c r="F28" s="2">
        <v>0.35123599999999999</v>
      </c>
      <c r="G28" s="2">
        <v>0.36727599999999999</v>
      </c>
      <c r="H28" s="2">
        <v>0.36475099999999999</v>
      </c>
      <c r="I28" s="2">
        <v>0.36594199999999999</v>
      </c>
      <c r="J28" s="2">
        <v>0.37109799999999998</v>
      </c>
      <c r="K28" s="2">
        <v>0.38936599999999999</v>
      </c>
      <c r="L28" s="2">
        <v>0.37465500000000002</v>
      </c>
    </row>
    <row r="29" spans="1:12">
      <c r="B29" s="54" t="s">
        <v>205</v>
      </c>
      <c r="C29" s="2">
        <v>0.29667500000000002</v>
      </c>
      <c r="D29" s="2">
        <v>0.313359</v>
      </c>
      <c r="E29" s="2">
        <v>0.32438899999999998</v>
      </c>
      <c r="F29" s="2">
        <v>0.35095599999999999</v>
      </c>
      <c r="G29" s="2">
        <v>0.37777300000000003</v>
      </c>
      <c r="H29" s="2">
        <v>0.37693900000000002</v>
      </c>
      <c r="I29" s="2">
        <v>0.38451000000000002</v>
      </c>
      <c r="J29" s="2">
        <v>0.38059199999999999</v>
      </c>
      <c r="K29" s="2">
        <v>0.37911400000000001</v>
      </c>
      <c r="L29" s="2">
        <v>0.41004099999999999</v>
      </c>
    </row>
    <row r="30" spans="1:12">
      <c r="B30" s="54" t="s">
        <v>206</v>
      </c>
      <c r="C30" s="2">
        <v>0.31602200000000003</v>
      </c>
      <c r="D30" s="2">
        <v>0.33341500000000002</v>
      </c>
      <c r="E30" s="2">
        <v>0.349248</v>
      </c>
      <c r="F30" s="2">
        <v>0.38839000000000001</v>
      </c>
      <c r="G30" s="2">
        <v>0.42363600000000001</v>
      </c>
      <c r="H30" s="2">
        <v>0.41535</v>
      </c>
      <c r="I30" s="2">
        <v>0.44408799999999998</v>
      </c>
      <c r="J30" s="2">
        <v>0.45858900000000002</v>
      </c>
      <c r="K30" s="2">
        <v>0.48278300000000002</v>
      </c>
      <c r="L30" s="2">
        <v>0.50373599999999996</v>
      </c>
    </row>
    <row r="36" spans="1:12" ht="21.75">
      <c r="A36" s="28" t="s">
        <v>226</v>
      </c>
      <c r="C36" s="54">
        <v>2007</v>
      </c>
      <c r="D36" s="54">
        <v>2008</v>
      </c>
      <c r="E36" s="54">
        <v>2009</v>
      </c>
      <c r="F36" s="54">
        <v>2010</v>
      </c>
      <c r="G36" s="54">
        <v>2011</v>
      </c>
      <c r="H36" s="54">
        <v>2012</v>
      </c>
      <c r="I36" s="54">
        <v>2013</v>
      </c>
      <c r="J36" s="54">
        <v>2014</v>
      </c>
      <c r="K36" s="54">
        <v>2015</v>
      </c>
      <c r="L36" s="54">
        <v>2016</v>
      </c>
    </row>
    <row r="37" spans="1:12" ht="21.75">
      <c r="B37" s="54" t="s">
        <v>207</v>
      </c>
      <c r="C37" s="24">
        <v>0.174542</v>
      </c>
      <c r="D37" s="24">
        <v>0.19799800000000001</v>
      </c>
      <c r="E37" s="24">
        <v>0.12435300000000001</v>
      </c>
      <c r="F37" s="24">
        <v>0.124943</v>
      </c>
      <c r="G37" s="24">
        <v>0.13069600000000001</v>
      </c>
      <c r="H37" s="24">
        <v>0.11010200000000001</v>
      </c>
      <c r="I37" s="24">
        <v>8.4986000000000006E-2</v>
      </c>
      <c r="J37" s="24">
        <v>0.14266999999999999</v>
      </c>
      <c r="K37" s="24">
        <v>0.22295999999999999</v>
      </c>
      <c r="L37" s="24">
        <v>0.20143</v>
      </c>
    </row>
    <row r="38" spans="1:12" ht="21.75">
      <c r="B38" s="54" t="s">
        <v>203</v>
      </c>
      <c r="C38" s="2">
        <v>0.26321</v>
      </c>
      <c r="D38" s="2">
        <v>0.27326800000000001</v>
      </c>
      <c r="E38" s="2">
        <v>0.223414</v>
      </c>
      <c r="F38" s="2">
        <v>0.251662</v>
      </c>
      <c r="G38" s="2">
        <v>0.253585</v>
      </c>
      <c r="H38" s="2">
        <v>0.27215299999999998</v>
      </c>
      <c r="I38" s="2">
        <v>0.27016099999999998</v>
      </c>
      <c r="J38" s="2">
        <v>0.24699699999999999</v>
      </c>
      <c r="K38" s="2">
        <v>0.26100200000000001</v>
      </c>
      <c r="L38" s="2">
        <v>0.28054800000000002</v>
      </c>
    </row>
    <row r="39" spans="1:12" ht="21.75">
      <c r="B39" s="54" t="s">
        <v>204</v>
      </c>
      <c r="C39" s="2">
        <v>0.15743499999999999</v>
      </c>
      <c r="D39" s="2">
        <v>0.15521599999999999</v>
      </c>
      <c r="E39" s="2">
        <v>0.16095999999999999</v>
      </c>
      <c r="F39" s="2">
        <v>0.12975200000000001</v>
      </c>
      <c r="G39" s="2">
        <v>0.15720799999999999</v>
      </c>
      <c r="H39" s="2">
        <v>0.17150000000000001</v>
      </c>
      <c r="I39" s="2">
        <v>0.15842300000000001</v>
      </c>
      <c r="J39" s="2">
        <v>0.169853</v>
      </c>
      <c r="K39" s="2">
        <v>0.17205699999999999</v>
      </c>
      <c r="L39" s="2">
        <v>0.148035</v>
      </c>
    </row>
    <row r="40" spans="1:12">
      <c r="B40" s="54" t="s">
        <v>205</v>
      </c>
      <c r="C40" s="2">
        <v>0.13694300000000001</v>
      </c>
      <c r="D40" s="2">
        <v>0.13320000000000001</v>
      </c>
      <c r="E40" s="2">
        <v>0.12039</v>
      </c>
      <c r="F40" s="2">
        <v>0.12642400000000001</v>
      </c>
      <c r="G40" s="2">
        <v>0.146953</v>
      </c>
      <c r="H40" s="2">
        <v>0.15718499999999999</v>
      </c>
      <c r="I40" s="2">
        <v>0.15837699999999999</v>
      </c>
      <c r="J40" s="2">
        <v>0.154997</v>
      </c>
      <c r="K40" s="2">
        <v>0.15210299999999999</v>
      </c>
      <c r="L40" s="2">
        <v>0.16662399999999999</v>
      </c>
    </row>
    <row r="41" spans="1:12">
      <c r="B41" s="54" t="s">
        <v>206</v>
      </c>
      <c r="C41" s="2">
        <v>0.10309400000000001</v>
      </c>
      <c r="D41" s="2">
        <v>0.113922</v>
      </c>
      <c r="E41" s="2">
        <v>0.129938</v>
      </c>
      <c r="F41" s="2">
        <v>0.133635</v>
      </c>
      <c r="G41" s="2">
        <v>0.16386600000000001</v>
      </c>
      <c r="H41" s="2">
        <v>0.16832800000000001</v>
      </c>
      <c r="I41" s="2">
        <v>0.18842500000000001</v>
      </c>
      <c r="J41" s="2">
        <v>0.19979</v>
      </c>
      <c r="K41" s="2">
        <v>0.21594099999999999</v>
      </c>
      <c r="L41" s="2">
        <v>0.21876799999999999</v>
      </c>
    </row>
    <row r="60" spans="24:24">
      <c r="X60" s="1" t="s">
        <v>227</v>
      </c>
    </row>
  </sheetData>
  <pageMargins left="0.7" right="0.7" top="0.75" bottom="0.75" header="0.3" footer="0.3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Income Statement</vt:lpstr>
      <vt:lpstr>Balance Sheet</vt:lpstr>
      <vt:lpstr>Cash Flow - DCF VALUATION</vt:lpstr>
      <vt:lpstr>Comparables </vt:lpstr>
      <vt:lpstr>Ratio Analysis </vt:lpstr>
      <vt:lpstr>Sheet1</vt:lpstr>
      <vt:lpstr>'Balance Sheet'!Print_Titles</vt:lpstr>
      <vt:lpstr>'Cash Flow - DCF VALUATION'!Print_Titles</vt:lpstr>
      <vt:lpstr>'Comparables '!Print_Titles</vt:lpstr>
      <vt:lpstr>'Income Statement'!Print_Titles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Avish Buck</dc:creator>
  <cp:keywords/>
  <dc:description/>
  <cp:lastModifiedBy>Marl</cp:lastModifiedBy>
  <cp:revision/>
  <dcterms:created xsi:type="dcterms:W3CDTF">2017-10-24T14:46:45Z</dcterms:created>
  <dcterms:modified xsi:type="dcterms:W3CDTF">2017-11-21T15:58:37Z</dcterms:modified>
  <cp:category/>
  <cp:contentStatus/>
</cp:coreProperties>
</file>